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12" windowWidth="11340" windowHeight="6540"/>
  </bookViews>
  <sheets>
    <sheet name="ENROLL TRENDS" sheetId="1" r:id="rId1"/>
    <sheet name="GRAD RATES" sheetId="5" r:id="rId2"/>
    <sheet name="FTIC TRENDS" sheetId="2" r:id="rId3"/>
    <sheet name="HDCT by class graph" sheetId="7" r:id="rId4"/>
  </sheets>
  <calcPr calcId="145621"/>
</workbook>
</file>

<file path=xl/calcChain.xml><?xml version="1.0" encoding="utf-8"?>
<calcChain xmlns="http://schemas.openxmlformats.org/spreadsheetml/2006/main">
  <c r="AA41" i="2" l="1"/>
  <c r="AA40" i="2"/>
  <c r="AA39" i="2"/>
  <c r="AA38" i="2"/>
  <c r="AA37" i="2"/>
  <c r="Z41" i="2"/>
  <c r="Z40" i="2"/>
  <c r="Z39" i="2"/>
  <c r="Z38" i="2"/>
  <c r="Z37" i="2"/>
  <c r="AA34" i="2"/>
  <c r="AA33" i="2"/>
  <c r="AA32" i="2"/>
  <c r="AA31" i="2"/>
  <c r="AA30" i="2"/>
  <c r="Z34" i="2"/>
  <c r="Z33" i="2"/>
  <c r="Z32" i="2"/>
  <c r="Z31" i="2"/>
  <c r="Z30" i="2"/>
  <c r="AA21" i="2"/>
  <c r="Z21" i="2"/>
  <c r="AA19" i="2"/>
  <c r="AA18" i="2"/>
  <c r="Z19" i="2"/>
  <c r="Z18" i="2"/>
  <c r="AA12" i="2"/>
  <c r="AA11" i="2"/>
  <c r="Z12" i="2"/>
  <c r="Z11" i="2"/>
  <c r="AA7" i="2"/>
  <c r="AA6" i="2"/>
  <c r="Z7" i="2"/>
  <c r="Z6" i="2"/>
  <c r="X19" i="2"/>
  <c r="X18" i="2"/>
  <c r="W21" i="2"/>
  <c r="W19" i="2"/>
  <c r="W18" i="2"/>
  <c r="V21" i="2"/>
  <c r="Y43" i="2"/>
  <c r="Y41" i="2"/>
  <c r="Y34" i="2"/>
  <c r="X43" i="2"/>
  <c r="X41" i="2"/>
  <c r="X34" i="2"/>
  <c r="Y8" i="2"/>
  <c r="X8" i="2"/>
  <c r="W16" i="5"/>
  <c r="V16" i="5"/>
  <c r="W21" i="5"/>
  <c r="V21" i="5"/>
  <c r="V14" i="5"/>
  <c r="W11" i="5"/>
  <c r="W14" i="5" s="1"/>
  <c r="V11" i="5"/>
  <c r="P43" i="7" l="1"/>
  <c r="O43" i="7"/>
  <c r="Z78" i="1"/>
  <c r="Z77" i="1"/>
  <c r="Z76" i="1"/>
  <c r="Z75" i="1"/>
  <c r="AA78" i="1"/>
  <c r="AA77" i="1"/>
  <c r="AA76" i="1"/>
  <c r="AA75" i="1"/>
  <c r="AA71" i="1"/>
  <c r="AA70" i="1"/>
  <c r="AA69" i="1"/>
  <c r="AA68" i="1"/>
  <c r="Z71" i="1"/>
  <c r="Z70" i="1"/>
  <c r="Z69" i="1"/>
  <c r="Z68" i="1"/>
  <c r="AB62" i="1"/>
  <c r="AA62" i="1"/>
  <c r="Z62" i="1"/>
  <c r="AB56" i="1"/>
  <c r="AB55" i="1"/>
  <c r="AB54" i="1"/>
  <c r="AA55" i="1"/>
  <c r="AA54" i="1"/>
  <c r="Z55" i="1"/>
  <c r="Z54" i="1"/>
  <c r="AB50" i="1"/>
  <c r="AB49" i="1"/>
  <c r="AB48" i="1"/>
  <c r="AB47" i="1"/>
  <c r="AB42" i="1"/>
  <c r="AB41" i="1"/>
  <c r="AB40" i="1"/>
  <c r="AA49" i="1"/>
  <c r="AA48" i="1"/>
  <c r="AA47" i="1"/>
  <c r="Z49" i="1"/>
  <c r="Z48" i="1"/>
  <c r="Z47" i="1"/>
  <c r="AA41" i="1"/>
  <c r="AA40" i="1"/>
  <c r="Z41" i="1"/>
  <c r="Z40" i="1"/>
  <c r="AB36" i="1"/>
  <c r="Z36" i="1"/>
  <c r="AA36" i="1"/>
  <c r="AB31" i="1"/>
  <c r="AB29" i="1"/>
  <c r="AB28" i="1"/>
  <c r="AB27" i="1"/>
  <c r="AB26" i="1"/>
  <c r="AB25" i="1"/>
  <c r="AB24" i="1"/>
  <c r="AA28" i="1"/>
  <c r="AA27" i="1"/>
  <c r="AA26" i="1"/>
  <c r="AA25" i="1"/>
  <c r="AA24" i="1"/>
  <c r="Z28" i="1"/>
  <c r="Z27" i="1"/>
  <c r="Z26" i="1"/>
  <c r="Z25" i="1"/>
  <c r="Z24" i="1"/>
  <c r="AB21" i="1"/>
  <c r="AB20" i="1"/>
  <c r="AB19" i="1"/>
  <c r="AB18" i="1"/>
  <c r="AB17" i="1"/>
  <c r="AB16" i="1"/>
  <c r="AB11" i="1"/>
  <c r="AA20" i="1"/>
  <c r="AA19" i="1"/>
  <c r="AA18" i="1"/>
  <c r="AA17" i="1"/>
  <c r="AA16" i="1"/>
  <c r="Z20" i="1"/>
  <c r="Z19" i="1"/>
  <c r="Z18" i="1"/>
  <c r="Z17" i="1"/>
  <c r="Z16" i="1"/>
  <c r="AA10" i="1"/>
  <c r="AA9" i="1"/>
  <c r="AA8" i="1"/>
  <c r="AA7" i="1"/>
  <c r="Z10" i="1"/>
  <c r="Z9" i="1"/>
  <c r="Z8" i="1"/>
  <c r="Z7" i="1"/>
  <c r="Y64" i="1"/>
  <c r="X64" i="1"/>
  <c r="W64" i="1"/>
  <c r="Y79" i="1"/>
  <c r="X79" i="1"/>
  <c r="Y72" i="1"/>
  <c r="X72" i="1"/>
  <c r="Y33" i="1"/>
  <c r="Y31" i="1"/>
  <c r="X31" i="1"/>
  <c r="Y29" i="1"/>
  <c r="Y21" i="1"/>
  <c r="Y11" i="1"/>
  <c r="Y58" i="1"/>
  <c r="Y56" i="1"/>
  <c r="X58" i="1"/>
  <c r="X56" i="1"/>
  <c r="Y50" i="1"/>
  <c r="X50" i="1"/>
  <c r="Y42" i="1"/>
  <c r="X42" i="1"/>
  <c r="X33" i="1"/>
  <c r="X29" i="1"/>
  <c r="X21" i="1"/>
  <c r="X11" i="1"/>
  <c r="V19" i="2" l="1"/>
  <c r="V18" i="2"/>
  <c r="U21" i="2"/>
  <c r="U19" i="2"/>
  <c r="W43" i="2" l="1"/>
  <c r="W41" i="2"/>
  <c r="W34" i="2"/>
  <c r="W8" i="2"/>
  <c r="U21" i="5"/>
  <c r="T21" i="5"/>
  <c r="U16" i="5"/>
  <c r="U15" i="5"/>
  <c r="U14" i="5"/>
  <c r="U11" i="5"/>
  <c r="T15" i="5"/>
  <c r="N43" i="7" l="1"/>
  <c r="W79" i="1"/>
  <c r="W72" i="1"/>
  <c r="V64" i="1"/>
  <c r="W58" i="1" l="1"/>
  <c r="W56" i="1"/>
  <c r="W50" i="1"/>
  <c r="W42" i="1"/>
  <c r="W29" i="1"/>
  <c r="W21" i="1" l="1"/>
  <c r="W11" i="1"/>
  <c r="W31" i="1" l="1"/>
  <c r="T16" i="5"/>
  <c r="W33" i="1" l="1"/>
  <c r="T11" i="5"/>
  <c r="T14" i="5" s="1"/>
  <c r="T21" i="2"/>
  <c r="U18" i="2"/>
  <c r="U41" i="2"/>
  <c r="U43" i="2" s="1"/>
  <c r="U34" i="2"/>
  <c r="U8" i="2"/>
  <c r="M43" i="7" l="1"/>
  <c r="L43" i="7"/>
  <c r="U79" i="1"/>
  <c r="U72" i="1"/>
  <c r="U64" i="1"/>
  <c r="U56" i="1"/>
  <c r="U58" i="1" s="1"/>
  <c r="U50" i="1"/>
  <c r="U42" i="1"/>
  <c r="U29" i="1"/>
  <c r="U21" i="1"/>
  <c r="U11" i="1"/>
  <c r="U31" i="1" l="1"/>
  <c r="U33" i="1" s="1"/>
  <c r="T19" i="2"/>
  <c r="T18" i="2"/>
  <c r="S21" i="2"/>
  <c r="S19" i="2"/>
  <c r="V41" i="2" l="1"/>
  <c r="V43" i="2" s="1"/>
  <c r="V34" i="2"/>
  <c r="V8" i="2"/>
  <c r="V79" i="1"/>
  <c r="V72" i="1"/>
  <c r="T64" i="1"/>
  <c r="V56" i="1"/>
  <c r="V50" i="1"/>
  <c r="V42" i="1"/>
  <c r="V29" i="1"/>
  <c r="V21" i="1"/>
  <c r="V11" i="1"/>
  <c r="N25" i="5"/>
  <c r="Q25" i="5"/>
  <c r="S21" i="5"/>
  <c r="S16" i="5"/>
  <c r="S15" i="5"/>
  <c r="S14" i="5"/>
  <c r="S11" i="5"/>
  <c r="V58" i="1" l="1"/>
  <c r="V31" i="1"/>
  <c r="Q43" i="7"/>
  <c r="V33" i="1" l="1"/>
  <c r="R14" i="5"/>
  <c r="R11" i="5"/>
  <c r="P25" i="5"/>
  <c r="O25" i="5"/>
  <c r="R21" i="5"/>
  <c r="P21" i="5"/>
  <c r="Q21" i="5"/>
  <c r="R19" i="5"/>
  <c r="R16" i="5"/>
  <c r="R15" i="5"/>
  <c r="R21" i="2" l="1"/>
  <c r="Q21" i="2"/>
  <c r="S18" i="2"/>
  <c r="S41" i="2" l="1"/>
  <c r="S34" i="2"/>
  <c r="S8" i="2"/>
  <c r="S43" i="2" l="1"/>
  <c r="S64" i="1"/>
  <c r="T79" i="1"/>
  <c r="T72" i="1"/>
  <c r="T56" i="1"/>
  <c r="T50" i="1"/>
  <c r="T42" i="1"/>
  <c r="T29" i="1"/>
  <c r="T21" i="1"/>
  <c r="T11" i="1"/>
  <c r="T31" i="1" l="1"/>
  <c r="T33" i="1"/>
  <c r="T58" i="1"/>
  <c r="K43" i="7"/>
  <c r="P21" i="2" l="1"/>
  <c r="R18" i="2" l="1"/>
  <c r="Q14" i="5" l="1"/>
  <c r="Q11" i="5"/>
  <c r="Q16" i="5"/>
  <c r="Q15" i="5"/>
  <c r="P16" i="5"/>
  <c r="P15" i="5"/>
  <c r="T41" i="2" l="1"/>
  <c r="T34" i="2"/>
  <c r="T43" i="2" l="1"/>
  <c r="T8" i="2"/>
  <c r="S79" i="1" l="1"/>
  <c r="S72" i="1"/>
  <c r="R64" i="1"/>
  <c r="S56" i="1" l="1"/>
  <c r="S58" i="1" s="1"/>
  <c r="S50" i="1"/>
  <c r="S42" i="1" l="1"/>
  <c r="S29" i="1"/>
  <c r="Z11" i="1"/>
  <c r="AA21" i="1"/>
  <c r="AA11" i="1"/>
  <c r="Z21" i="1"/>
  <c r="S21" i="1"/>
  <c r="S11" i="1"/>
  <c r="J43" i="7"/>
  <c r="S31" i="1" l="1"/>
  <c r="S33" i="1" s="1"/>
  <c r="Q8" i="5"/>
  <c r="Q7" i="5"/>
  <c r="P7" i="5"/>
  <c r="P9" i="5"/>
  <c r="P8" i="5"/>
  <c r="P19" i="5"/>
  <c r="P11" i="5"/>
  <c r="P14" i="5" s="1"/>
  <c r="Q41" i="2" l="1"/>
  <c r="Q34" i="2"/>
  <c r="Q8" i="2"/>
  <c r="Q79" i="1"/>
  <c r="Q72" i="1"/>
  <c r="Q64" i="1"/>
  <c r="Q56" i="1"/>
  <c r="Q50" i="1"/>
  <c r="Q42" i="1"/>
  <c r="Q29" i="1"/>
  <c r="Q21" i="1"/>
  <c r="Q11" i="1"/>
  <c r="Q43" i="2" l="1"/>
  <c r="Q58" i="1"/>
  <c r="Q31" i="1"/>
  <c r="I43" i="7"/>
  <c r="Q33" i="1" l="1"/>
  <c r="M25" i="5"/>
  <c r="L25" i="5"/>
  <c r="K25" i="5"/>
  <c r="AA29" i="1"/>
  <c r="Z29" i="1"/>
  <c r="Z31" i="1" s="1"/>
  <c r="R79" i="1"/>
  <c r="R72" i="1"/>
  <c r="R8" i="2"/>
  <c r="R41" i="2"/>
  <c r="R34" i="2"/>
  <c r="R56" i="1"/>
  <c r="R50" i="1"/>
  <c r="R42" i="1"/>
  <c r="R29" i="1"/>
  <c r="R21" i="1"/>
  <c r="R11" i="1"/>
  <c r="P64" i="1"/>
  <c r="O64" i="1"/>
  <c r="N64" i="1"/>
  <c r="M64" i="1"/>
  <c r="L64" i="1"/>
  <c r="K64" i="1"/>
  <c r="J64" i="1"/>
  <c r="I64" i="1"/>
  <c r="H64" i="1"/>
  <c r="G64" i="1"/>
  <c r="F64" i="1"/>
  <c r="O11" i="5"/>
  <c r="O14" i="5"/>
  <c r="P41" i="2"/>
  <c r="P34" i="2"/>
  <c r="P8" i="2"/>
  <c r="P75" i="1"/>
  <c r="P72" i="1"/>
  <c r="P56" i="1"/>
  <c r="AA42" i="1"/>
  <c r="Z42" i="1"/>
  <c r="P42" i="1"/>
  <c r="P29" i="1"/>
  <c r="P21" i="1"/>
  <c r="P11" i="1"/>
  <c r="P50" i="1"/>
  <c r="N11" i="5"/>
  <c r="N14" i="5"/>
  <c r="O79" i="1"/>
  <c r="AA72" i="1"/>
  <c r="Z72" i="1"/>
  <c r="O72" i="1"/>
  <c r="O56" i="1"/>
  <c r="AA50" i="1"/>
  <c r="Z50" i="1"/>
  <c r="O50" i="1"/>
  <c r="O41" i="2"/>
  <c r="O34" i="2"/>
  <c r="O8" i="2"/>
  <c r="O42" i="1"/>
  <c r="O29" i="1"/>
  <c r="O21" i="1"/>
  <c r="O11" i="1"/>
  <c r="B8" i="2"/>
  <c r="C8" i="2"/>
  <c r="D8" i="2"/>
  <c r="E8" i="2"/>
  <c r="F8" i="2"/>
  <c r="G8" i="2"/>
  <c r="H8" i="2"/>
  <c r="I8" i="2"/>
  <c r="J8" i="2"/>
  <c r="K8" i="2"/>
  <c r="L8" i="2"/>
  <c r="M8" i="2"/>
  <c r="N8" i="2"/>
  <c r="B34" i="2"/>
  <c r="C34" i="2"/>
  <c r="D34" i="2"/>
  <c r="E34" i="2"/>
  <c r="F34" i="2"/>
  <c r="G34" i="2"/>
  <c r="H34" i="2"/>
  <c r="I34" i="2"/>
  <c r="J34" i="2"/>
  <c r="K34" i="2"/>
  <c r="L34" i="2"/>
  <c r="M34" i="2"/>
  <c r="N34" i="2"/>
  <c r="B41" i="2"/>
  <c r="C41" i="2"/>
  <c r="D41" i="2"/>
  <c r="E41" i="2"/>
  <c r="F41" i="2"/>
  <c r="G41" i="2"/>
  <c r="H41" i="2"/>
  <c r="I41" i="2"/>
  <c r="J41" i="2"/>
  <c r="K41" i="2"/>
  <c r="L41" i="2"/>
  <c r="M41" i="2"/>
  <c r="B43" i="2"/>
  <c r="C43" i="2"/>
  <c r="D43" i="2"/>
  <c r="E43" i="2"/>
  <c r="F43" i="2"/>
  <c r="G43" i="2"/>
  <c r="H43" i="2"/>
  <c r="I43" i="2"/>
  <c r="J43" i="2"/>
  <c r="K43" i="2"/>
  <c r="L43" i="2"/>
  <c r="M43" i="2"/>
  <c r="N43" i="2"/>
  <c r="B11" i="5"/>
  <c r="C11" i="5"/>
  <c r="D11" i="5"/>
  <c r="E11" i="5"/>
  <c r="F11" i="5"/>
  <c r="G11" i="5"/>
  <c r="H11" i="5"/>
  <c r="I11" i="5"/>
  <c r="J11" i="5"/>
  <c r="K11" i="5"/>
  <c r="L11" i="5"/>
  <c r="M11" i="5"/>
  <c r="B14" i="5"/>
  <c r="C14" i="5"/>
  <c r="D14" i="5"/>
  <c r="E14" i="5"/>
  <c r="F14" i="5"/>
  <c r="G14" i="5"/>
  <c r="H14" i="5"/>
  <c r="I14" i="5"/>
  <c r="J14" i="5"/>
  <c r="K14" i="5"/>
  <c r="L14" i="5"/>
  <c r="M14" i="5"/>
  <c r="B11" i="1"/>
  <c r="C11" i="1"/>
  <c r="D11" i="1"/>
  <c r="E11" i="1"/>
  <c r="F11" i="1"/>
  <c r="G11" i="1"/>
  <c r="H11" i="1"/>
  <c r="I11" i="1"/>
  <c r="K11" i="1"/>
  <c r="L11" i="1"/>
  <c r="M11" i="1"/>
  <c r="N11" i="1"/>
  <c r="B21" i="1"/>
  <c r="C21" i="1"/>
  <c r="D21" i="1"/>
  <c r="E21" i="1"/>
  <c r="F21" i="1"/>
  <c r="G21" i="1"/>
  <c r="H21" i="1"/>
  <c r="I21" i="1"/>
  <c r="K21" i="1"/>
  <c r="L21" i="1"/>
  <c r="M21" i="1"/>
  <c r="N21" i="1"/>
  <c r="B29" i="1"/>
  <c r="B31" i="1" s="1"/>
  <c r="C29" i="1"/>
  <c r="C31" i="1" s="1"/>
  <c r="C33" i="1" s="1"/>
  <c r="D29" i="1"/>
  <c r="E29" i="1"/>
  <c r="F29" i="1"/>
  <c r="G29" i="1"/>
  <c r="H29" i="1"/>
  <c r="I29" i="1"/>
  <c r="K29" i="1"/>
  <c r="L29" i="1"/>
  <c r="L31" i="1" s="1"/>
  <c r="L33" i="1" s="1"/>
  <c r="M29" i="1"/>
  <c r="N29" i="1"/>
  <c r="J31" i="1"/>
  <c r="J33" i="1" s="1"/>
  <c r="B42" i="1"/>
  <c r="C42" i="1"/>
  <c r="D42" i="1"/>
  <c r="E42" i="1"/>
  <c r="F42" i="1"/>
  <c r="G42" i="1"/>
  <c r="H42" i="1"/>
  <c r="I42" i="1"/>
  <c r="J42" i="1"/>
  <c r="K42" i="1"/>
  <c r="L42" i="1"/>
  <c r="M42" i="1"/>
  <c r="N42" i="1"/>
  <c r="B50" i="1"/>
  <c r="C50" i="1"/>
  <c r="D50" i="1"/>
  <c r="E50" i="1"/>
  <c r="F50" i="1"/>
  <c r="G50" i="1"/>
  <c r="H50" i="1"/>
  <c r="I50" i="1"/>
  <c r="J50" i="1"/>
  <c r="K50" i="1"/>
  <c r="L50" i="1"/>
  <c r="M50" i="1"/>
  <c r="N50" i="1"/>
  <c r="B56" i="1"/>
  <c r="B58" i="1" s="1"/>
  <c r="C56" i="1"/>
  <c r="C58" i="1" s="1"/>
  <c r="D56" i="1"/>
  <c r="D58" i="1" s="1"/>
  <c r="E56" i="1"/>
  <c r="F56" i="1"/>
  <c r="F58" i="1" s="1"/>
  <c r="G56" i="1"/>
  <c r="G58" i="1" s="1"/>
  <c r="H56" i="1"/>
  <c r="H58" i="1" s="1"/>
  <c r="I56" i="1"/>
  <c r="I58" i="1" s="1"/>
  <c r="J56" i="1"/>
  <c r="J58" i="1" s="1"/>
  <c r="K56" i="1"/>
  <c r="K58" i="1" s="1"/>
  <c r="L56" i="1"/>
  <c r="L58" i="1" s="1"/>
  <c r="M56" i="1"/>
  <c r="M58" i="1" s="1"/>
  <c r="N56" i="1"/>
  <c r="Z56" i="1"/>
  <c r="Z58" i="1" s="1"/>
  <c r="AA56" i="1"/>
  <c r="AA58" i="1" s="1"/>
  <c r="E58" i="1"/>
  <c r="B72" i="1"/>
  <c r="C72" i="1"/>
  <c r="D72" i="1"/>
  <c r="E72" i="1"/>
  <c r="F72" i="1"/>
  <c r="G72" i="1"/>
  <c r="H72" i="1"/>
  <c r="I72" i="1"/>
  <c r="J72" i="1"/>
  <c r="K72" i="1"/>
  <c r="L72" i="1"/>
  <c r="M72" i="1"/>
  <c r="N72" i="1"/>
  <c r="B79" i="1"/>
  <c r="C79" i="1"/>
  <c r="D79" i="1"/>
  <c r="E79" i="1"/>
  <c r="F79" i="1"/>
  <c r="G79" i="1"/>
  <c r="H79" i="1"/>
  <c r="I79" i="1"/>
  <c r="J79" i="1"/>
  <c r="K79" i="1"/>
  <c r="L79" i="1"/>
  <c r="M79" i="1"/>
  <c r="N79" i="1"/>
  <c r="K31" i="1" l="1"/>
  <c r="K33" i="1" s="1"/>
  <c r="P58" i="1"/>
  <c r="I31" i="1"/>
  <c r="I33" i="1" s="1"/>
  <c r="P43" i="2"/>
  <c r="Z43" i="2"/>
  <c r="R43" i="2"/>
  <c r="AA43" i="2"/>
  <c r="G31" i="1"/>
  <c r="G33" i="1" s="1"/>
  <c r="N31" i="1"/>
  <c r="N33" i="1" s="1"/>
  <c r="E31" i="1"/>
  <c r="E33" i="1" s="1"/>
  <c r="H31" i="1"/>
  <c r="H33" i="1" s="1"/>
  <c r="D31" i="1"/>
  <c r="D33" i="1" s="1"/>
  <c r="F31" i="1"/>
  <c r="F33" i="1" s="1"/>
  <c r="O58" i="1"/>
  <c r="AA79" i="1"/>
  <c r="Z79" i="1"/>
  <c r="B33" i="1"/>
  <c r="N58" i="1"/>
  <c r="P31" i="1"/>
  <c r="M31" i="1"/>
  <c r="M33" i="1" s="1"/>
  <c r="O31" i="1"/>
  <c r="AA31" i="1"/>
  <c r="P79" i="1"/>
  <c r="Z8" i="2"/>
  <c r="AA8" i="2"/>
  <c r="R58" i="1"/>
  <c r="O43" i="2"/>
  <c r="R31" i="1"/>
  <c r="P33" i="1" l="1"/>
  <c r="O33" i="1"/>
  <c r="R33" i="1"/>
</calcChain>
</file>

<file path=xl/sharedStrings.xml><?xml version="1.0" encoding="utf-8"?>
<sst xmlns="http://schemas.openxmlformats.org/spreadsheetml/2006/main" count="288" uniqueCount="183">
  <si>
    <t>HEADCOUNT BY CLASS LEVEL</t>
  </si>
  <si>
    <t>FALL 96</t>
  </si>
  <si>
    <t>FALL 97</t>
  </si>
  <si>
    <t>FALL 98</t>
  </si>
  <si>
    <t>FALL 99</t>
  </si>
  <si>
    <t>FALL 01</t>
  </si>
  <si>
    <t>Freshmen</t>
  </si>
  <si>
    <t>Sophomores</t>
  </si>
  <si>
    <t>Juniors</t>
  </si>
  <si>
    <t>Seniors</t>
  </si>
  <si>
    <t>TOTAL</t>
  </si>
  <si>
    <t>FALL 00</t>
  </si>
  <si>
    <t>Prepared by Judy Fields, Institutional Research Analyst.</t>
  </si>
  <si>
    <t>FALL 95</t>
  </si>
  <si>
    <t>FALL 02</t>
  </si>
  <si>
    <t>HEADCOUNT BY SELECTED MISSOURI COUNTIES</t>
  </si>
  <si>
    <t>Primary Service Area</t>
  </si>
  <si>
    <t>Buchanan</t>
  </si>
  <si>
    <t>Andrew</t>
  </si>
  <si>
    <t>Clay</t>
  </si>
  <si>
    <t>Clinton</t>
  </si>
  <si>
    <t>Platte</t>
  </si>
  <si>
    <t>Subtotal Primary Area</t>
  </si>
  <si>
    <t>Secondary Service Area</t>
  </si>
  <si>
    <t>Caldwell</t>
  </si>
  <si>
    <t>Daviess</t>
  </si>
  <si>
    <t>DeKalb</t>
  </si>
  <si>
    <t>Jackson</t>
  </si>
  <si>
    <t>Ray</t>
  </si>
  <si>
    <t>TOTAL SELECTED</t>
  </si>
  <si>
    <t>% of Total Enrollment from</t>
  </si>
  <si>
    <t xml:space="preserve">   Selected Counties</t>
  </si>
  <si>
    <t>TOTAL STUDENTS FROM</t>
  </si>
  <si>
    <t xml:space="preserve">   MISSOURI</t>
  </si>
  <si>
    <t>Subtotal Secondary Area</t>
  </si>
  <si>
    <t>FALL 03</t>
  </si>
  <si>
    <t>FALL 04</t>
  </si>
  <si>
    <t>FALL 05</t>
  </si>
  <si>
    <t>New Freshmen</t>
  </si>
  <si>
    <t>New Transfers</t>
  </si>
  <si>
    <t>HEADCOUNT BY DEGREE SEEKING STATUS</t>
  </si>
  <si>
    <t>Degree Seeking</t>
  </si>
  <si>
    <t>Dual Credit High School</t>
  </si>
  <si>
    <t>HEADCOUNT OF NEW DEGREE SEEKING STUDENTS</t>
  </si>
  <si>
    <t>TOTAL NEW DS STUDENTS</t>
  </si>
  <si>
    <t xml:space="preserve">TOTAL </t>
  </si>
  <si>
    <t>Full-Time New FR</t>
  </si>
  <si>
    <t>1 YEAR RETENTION RATE</t>
  </si>
  <si>
    <t>MISSOURI WESTERN STATE UNIVERSITY</t>
  </si>
  <si>
    <t>FIRST YEAR SUCCESS RATES (By DHE Guidelines**)</t>
  </si>
  <si>
    <t>**Completed first academic year with 24 credit hours and a GPA of 2.0.</t>
  </si>
  <si>
    <t>% WITH HIGH SCHOOL CORE (Missouri High School Grads only)</t>
  </si>
  <si>
    <t>(Not Available)</t>
  </si>
  <si>
    <t>Other Non-Degree Seeking</t>
  </si>
  <si>
    <t>19 AND YOUNGER</t>
  </si>
  <si>
    <t>20-24</t>
  </si>
  <si>
    <t>25-29</t>
  </si>
  <si>
    <t>MALES</t>
  </si>
  <si>
    <t>FEMALES</t>
  </si>
  <si>
    <t>LAST 5 YR</t>
  </si>
  <si>
    <t>AVG</t>
  </si>
  <si>
    <t>LAST 3 YR</t>
  </si>
  <si>
    <t>% Students Full-Time</t>
  </si>
  <si>
    <t>30 AND OLDER</t>
  </si>
  <si>
    <t>TOTAL MALES</t>
  </si>
  <si>
    <t>TOTAL FEMALES</t>
  </si>
  <si>
    <t xml:space="preserve">% FEMALES OF </t>
  </si>
  <si>
    <t xml:space="preserve">   FT NEW FR</t>
  </si>
  <si>
    <t>Avg Last</t>
  </si>
  <si>
    <t>5 Yrs</t>
  </si>
  <si>
    <t>3 Yrs</t>
  </si>
  <si>
    <t>STUDENT CREDIT HOURS</t>
  </si>
  <si>
    <t>FALL TERM</t>
  </si>
  <si>
    <t>FULL-TIME</t>
  </si>
  <si>
    <t>PART-TIME</t>
  </si>
  <si>
    <t>TOTAL FULL-TIME</t>
  </si>
  <si>
    <t>TOTAL PART-TIME</t>
  </si>
  <si>
    <t>AGE OF STUDENTS**</t>
  </si>
  <si>
    <t>**Excludes Dual-Credit High School Students</t>
  </si>
  <si>
    <t>1991 Cohort</t>
  </si>
  <si>
    <t>to 1997</t>
  </si>
  <si>
    <t>1992 Cohort</t>
  </si>
  <si>
    <t>to 1998</t>
  </si>
  <si>
    <t>1993 Cohort</t>
  </si>
  <si>
    <t>to 1999</t>
  </si>
  <si>
    <t>1994 Cohort</t>
  </si>
  <si>
    <t>to 2000</t>
  </si>
  <si>
    <t>1995 Cohort</t>
  </si>
  <si>
    <t>to 2001</t>
  </si>
  <si>
    <t>1996 Cohort</t>
  </si>
  <si>
    <t>to 2002</t>
  </si>
  <si>
    <t>1997 Cohort</t>
  </si>
  <si>
    <t>to 2003</t>
  </si>
  <si>
    <t>1998 Cohort</t>
  </si>
  <si>
    <t>to 2004</t>
  </si>
  <si>
    <t>1999 Cohort</t>
  </si>
  <si>
    <t>to 2005</t>
  </si>
  <si>
    <t>2000 Cohort</t>
  </si>
  <si>
    <t>to 2006</t>
  </si>
  <si>
    <t>Continuing to 7th Year</t>
  </si>
  <si>
    <t>TOTAL GRADUATING</t>
  </si>
  <si>
    <t>GRADUATION RATES OF FIRST-TIME FULL-TIME ENTERING FRESHMEN</t>
  </si>
  <si>
    <t>Number Entering</t>
  </si>
  <si>
    <t>Graduating in 4 yrs</t>
  </si>
  <si>
    <t>Graduating in 5 yrs</t>
  </si>
  <si>
    <t>Graduating in 6 yrs</t>
  </si>
  <si>
    <t xml:space="preserve">% Graduating Within </t>
  </si>
  <si>
    <t xml:space="preserve">   6 years</t>
  </si>
  <si>
    <t>FALL 06</t>
  </si>
  <si>
    <t>2001 Cohort</t>
  </si>
  <si>
    <t>to 2007</t>
  </si>
  <si>
    <t>IPEDS Rate*</t>
  </si>
  <si>
    <t>DHE Rate:  Those students of the entering cohort who had graduated from any Missouri public institution as of the end of the spring term six years later.</t>
  </si>
  <si>
    <t>NCAA Rate*</t>
  </si>
  <si>
    <t>DHE Rate*</t>
  </si>
  <si>
    <t>*Definitions:</t>
  </si>
  <si>
    <t>2002 Cohort</t>
  </si>
  <si>
    <t>to 2008</t>
  </si>
  <si>
    <t>IPEDS Rate:  Those students of the entering cohort who had graduated from the home institution as of the end of the summer term six years later.  An associate degree must be completed within first 3 years of entering.</t>
  </si>
  <si>
    <t xml:space="preserve">NCAA Rate:  Those students of the entering cohort who had graduated from the home institution with a baccalaureate degree by the end of the summer term six years later.  </t>
  </si>
  <si>
    <t>HEADCOUNT BY ENROLLMENT STATUS</t>
  </si>
  <si>
    <t>Full-Time</t>
  </si>
  <si>
    <t>Part-time</t>
  </si>
  <si>
    <t>% of Full-Time</t>
  </si>
  <si>
    <t>FALL 07</t>
  </si>
  <si>
    <t>FALL 08</t>
  </si>
  <si>
    <t>2003 Cohort</t>
  </si>
  <si>
    <t>to 2009</t>
  </si>
  <si>
    <t>FALL 09</t>
  </si>
  <si>
    <t>% change</t>
  </si>
  <si>
    <t>last 5 yrs</t>
  </si>
  <si>
    <t>% change last 5 yrs</t>
  </si>
  <si>
    <t xml:space="preserve">   8 yrs (200% of time)  IPEDS Rate</t>
  </si>
  <si>
    <t xml:space="preserve">% Graduating with Bach Within </t>
  </si>
  <si>
    <t>2004 Cohort</t>
  </si>
  <si>
    <t>to 2010</t>
  </si>
  <si>
    <t>Transfer-Out Rate</t>
  </si>
  <si>
    <t>Graduate Students</t>
  </si>
  <si>
    <t>% FY SCH in FALL TERM</t>
  </si>
  <si>
    <t>FALL 10</t>
  </si>
  <si>
    <t>N/Ap</t>
  </si>
  <si>
    <t>FALL 11</t>
  </si>
  <si>
    <t>2005 Cohort</t>
  </si>
  <si>
    <t>to 2011</t>
  </si>
  <si>
    <t>Rows 7-9 include Associates, Bachelors and 1 year Certifications</t>
  </si>
  <si>
    <t>Graduating in 7 or 8 yrs with Bachelor Degree</t>
  </si>
  <si>
    <t>2006 Cohort</t>
  </si>
  <si>
    <t>to 2012</t>
  </si>
  <si>
    <t>2007 Cohort</t>
  </si>
  <si>
    <t>to 2013</t>
  </si>
  <si>
    <t>Prepared by Steve Saffell, Institutional Research Analyst starting January 2012</t>
  </si>
  <si>
    <t>FALL 12</t>
  </si>
  <si>
    <t>UNDERGRADUATE ENROLLMENT TRENDS</t>
  </si>
  <si>
    <t>Prepared by Judy Fields, Institutional Research Analyst through Fall 2011</t>
  </si>
  <si>
    <t>Prepared by Steve Saffell, Institutional Research Analyst beginning Fall 2012</t>
  </si>
  <si>
    <t>table 7 http://dhe.mo.gov/data/statsum/</t>
  </si>
  <si>
    <t>FALL 13</t>
  </si>
  <si>
    <t xml:space="preserve">AVERAGE ACT COMPOSITE </t>
  </si>
  <si>
    <t>2008 Cohort</t>
  </si>
  <si>
    <t>to 2014</t>
  </si>
  <si>
    <t>FALL 14</t>
  </si>
  <si>
    <t>All New Freshmen Degree Seekers</t>
  </si>
  <si>
    <t>Full-Time New FR Degree Seekers</t>
  </si>
  <si>
    <t>All New Freshmen degree Seekers</t>
  </si>
  <si>
    <t>AGE OF ENTERING FRESHMEN (FULL-TIME) DEGREE SEEKING</t>
  </si>
  <si>
    <t>TRENDS OF FIRST-TIME FRESHMEN DEGREE SEEKERS</t>
  </si>
  <si>
    <t>Retention to 3rd Yr-FT Degree Seekers</t>
  </si>
  <si>
    <t>FALL 15</t>
  </si>
  <si>
    <t>2009 Cohort</t>
  </si>
  <si>
    <t>to 2015</t>
  </si>
  <si>
    <t>FALL 16</t>
  </si>
  <si>
    <t>2010 Cohort</t>
  </si>
  <si>
    <t>to 2016</t>
  </si>
  <si>
    <t>53%</t>
  </si>
  <si>
    <t>FALL 17</t>
  </si>
  <si>
    <t>FALL 18</t>
  </si>
  <si>
    <t>FALL 1995--FALL 2018*</t>
  </si>
  <si>
    <t>*Census Data Fall 1995--Fall 2018</t>
  </si>
  <si>
    <t>TOTAL FOR FISCAL YEAR REPORT TO IPEDS</t>
  </si>
  <si>
    <t>2011 Cohort</t>
  </si>
  <si>
    <t>2012 Cohort</t>
  </si>
  <si>
    <t>to 2017</t>
  </si>
  <si>
    <t>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</si>
</sst>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7" x14ac:knownFonts="1">
    <font>
      <sz val="10"/>
      <name val="Arial"/>
    </font>
    <font>
      <sz val="10"/>
      <name val="Arial"/>
      <family val="2"/>
    </font>
    <font>
      <b/>
      <sz val="10"/>
      <name val="Arial"/>
      <family val="2"/>
    </font>
    <font>
      <b/>
      <sz val="14"/>
      <name val="Arial"/>
      <family val="2"/>
    </font>
    <font>
      <sz val="8"/>
      <name val="Arial"/>
      <family val="2"/>
    </font>
    <font>
      <b/>
      <i/>
      <sz val="10"/>
      <name val="Arial"/>
      <family val="2"/>
    </font>
    <font>
      <i/>
      <sz val="10"/>
      <name val="Arial"/>
      <family val="2"/>
    </font>
    <font>
      <b/>
      <sz val="12"/>
      <name val="Arial"/>
      <family val="2"/>
    </font>
    <font>
      <sz val="8"/>
      <name val="Arial"/>
      <family val="2"/>
    </font>
    <font>
      <sz val="9"/>
      <name val="Arial"/>
      <family val="2"/>
    </font>
    <font>
      <sz val="10"/>
      <name val="Arial"/>
      <family val="2"/>
    </font>
    <font>
      <b/>
      <u/>
      <sz val="10"/>
      <name val="Arial"/>
      <family val="2"/>
    </font>
    <font>
      <b/>
      <sz val="10"/>
      <color indexed="57"/>
      <name val="Arial"/>
      <family val="2"/>
    </font>
    <font>
      <b/>
      <sz val="9"/>
      <name val="Arial"/>
      <family val="2"/>
    </font>
    <font>
      <b/>
      <sz val="11"/>
      <name val="Arial"/>
      <family val="2"/>
    </font>
    <font>
      <sz val="10"/>
      <name val="Times New Roman"/>
      <family val="1"/>
    </font>
    <font>
      <u/>
      <sz val="10"/>
      <color theme="10"/>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right/>
      <top/>
      <bottom style="thin">
        <color indexed="64"/>
      </bottom>
      <diagonal/>
    </border>
  </borders>
  <cellStyleXfs count="3">
    <xf numFmtId="0" fontId="0" fillId="0" borderId="0">
      <alignment wrapText="1"/>
    </xf>
    <xf numFmtId="0" fontId="15" fillId="0" borderId="0"/>
    <xf numFmtId="0" fontId="16" fillId="0" borderId="0" applyNumberFormat="0" applyFill="0" applyBorder="0" applyAlignment="0" applyProtection="0">
      <alignment wrapText="1"/>
    </xf>
  </cellStyleXfs>
  <cellXfs count="123">
    <xf numFmtId="0" fontId="0" fillId="0" borderId="0" xfId="0">
      <alignment wrapText="1"/>
    </xf>
    <xf numFmtId="0" fontId="2" fillId="0" borderId="0" xfId="0" applyFont="1">
      <alignment wrapText="1"/>
    </xf>
    <xf numFmtId="164" fontId="0" fillId="0" borderId="0" xfId="0" applyNumberFormat="1">
      <alignment wrapText="1"/>
    </xf>
    <xf numFmtId="0" fontId="0" fillId="0" borderId="1" xfId="0" applyBorder="1" applyAlignment="1">
      <alignment horizontal="right"/>
    </xf>
    <xf numFmtId="0" fontId="3" fillId="0" borderId="0" xfId="0" applyFont="1" applyAlignment="1">
      <alignment horizontal="centerContinuous"/>
    </xf>
    <xf numFmtId="0" fontId="0" fillId="0" borderId="0" xfId="0" applyAlignment="1">
      <alignment horizontal="centerContinuous"/>
    </xf>
    <xf numFmtId="0" fontId="0" fillId="1" borderId="0" xfId="0" applyFill="1">
      <alignment wrapText="1"/>
    </xf>
    <xf numFmtId="0" fontId="5" fillId="0" borderId="0" xfId="0" applyFont="1">
      <alignment wrapText="1"/>
    </xf>
    <xf numFmtId="0" fontId="0" fillId="2" borderId="0" xfId="0" applyFill="1">
      <alignment wrapText="1"/>
    </xf>
    <xf numFmtId="0" fontId="2" fillId="0" borderId="0" xfId="0" applyFont="1" applyAlignment="1">
      <alignment horizontal="centerContinuous"/>
    </xf>
    <xf numFmtId="165" fontId="0" fillId="0" borderId="0" xfId="0" applyNumberFormat="1">
      <alignment wrapText="1"/>
    </xf>
    <xf numFmtId="0" fontId="7" fillId="0" borderId="0" xfId="0" applyFont="1" applyAlignment="1">
      <alignment horizontal="centerContinuous"/>
    </xf>
    <xf numFmtId="165" fontId="2" fillId="0" borderId="0" xfId="0" applyNumberFormat="1" applyFont="1">
      <alignment wrapText="1"/>
    </xf>
    <xf numFmtId="9" fontId="0" fillId="0" borderId="0" xfId="0" applyNumberFormat="1">
      <alignment wrapText="1"/>
    </xf>
    <xf numFmtId="9" fontId="0" fillId="0" borderId="0" xfId="0" applyNumberFormat="1" applyAlignment="1">
      <alignment horizontal="centerContinuous"/>
    </xf>
    <xf numFmtId="0" fontId="2" fillId="0" borderId="0" xfId="0" applyFont="1" applyAlignment="1">
      <alignment horizontal="center"/>
    </xf>
    <xf numFmtId="0" fontId="0" fillId="0" borderId="1" xfId="0" applyFill="1" applyBorder="1" applyAlignment="1">
      <alignment horizontal="center"/>
    </xf>
    <xf numFmtId="0" fontId="0" fillId="0" borderId="0" xfId="0" applyAlignment="1">
      <alignment horizontal="right"/>
    </xf>
    <xf numFmtId="165" fontId="0" fillId="1" borderId="0" xfId="0" applyNumberFormat="1" applyFill="1">
      <alignment wrapText="1"/>
    </xf>
    <xf numFmtId="0" fontId="0" fillId="0" borderId="0" xfId="0" applyBorder="1" applyAlignment="1">
      <alignment horizontal="right"/>
    </xf>
    <xf numFmtId="0" fontId="0" fillId="0" borderId="0" xfId="0" applyBorder="1">
      <alignment wrapText="1"/>
    </xf>
    <xf numFmtId="0" fontId="0" fillId="0" borderId="0" xfId="0" applyFill="1" applyBorder="1" applyAlignment="1">
      <alignment horizontal="center"/>
    </xf>
    <xf numFmtId="0" fontId="0" fillId="0" borderId="0" xfId="0" applyAlignment="1">
      <alignment horizontal="center"/>
    </xf>
    <xf numFmtId="3" fontId="0" fillId="0" borderId="0" xfId="0" applyNumberFormat="1">
      <alignment wrapText="1"/>
    </xf>
    <xf numFmtId="0" fontId="10" fillId="0" borderId="0" xfId="0" applyFont="1" applyBorder="1">
      <alignment wrapText="1"/>
    </xf>
    <xf numFmtId="0" fontId="0" fillId="0" borderId="0" xfId="0" applyFill="1" applyBorder="1">
      <alignment wrapText="1"/>
    </xf>
    <xf numFmtId="0" fontId="10" fillId="0" borderId="0" xfId="0" applyFont="1">
      <alignment wrapText="1"/>
    </xf>
    <xf numFmtId="0" fontId="10" fillId="0" borderId="0" xfId="0" applyFont="1" applyBorder="1" applyAlignment="1">
      <alignment horizontal="right"/>
    </xf>
    <xf numFmtId="0" fontId="6" fillId="0" borderId="0" xfId="0" applyFont="1" applyBorder="1" applyAlignment="1">
      <alignment horizontal="center"/>
    </xf>
    <xf numFmtId="0" fontId="10" fillId="1" borderId="0" xfId="0" applyFont="1" applyFill="1">
      <alignment wrapText="1"/>
    </xf>
    <xf numFmtId="1" fontId="0" fillId="0" borderId="0" xfId="0" applyNumberFormat="1">
      <alignment wrapText="1"/>
    </xf>
    <xf numFmtId="165" fontId="10" fillId="0" borderId="0" xfId="0" applyNumberFormat="1" applyFont="1">
      <alignment wrapText="1"/>
    </xf>
    <xf numFmtId="1" fontId="10" fillId="0" borderId="0" xfId="0" applyNumberFormat="1" applyFont="1">
      <alignment wrapText="1"/>
    </xf>
    <xf numFmtId="164" fontId="10" fillId="0" borderId="0" xfId="0" applyNumberFormat="1" applyFont="1">
      <alignment wrapText="1"/>
    </xf>
    <xf numFmtId="9" fontId="10" fillId="0" borderId="0" xfId="0" applyNumberFormat="1" applyFont="1">
      <alignment wrapText="1"/>
    </xf>
    <xf numFmtId="1" fontId="0" fillId="1" borderId="0" xfId="0" applyNumberFormat="1" applyFill="1">
      <alignment wrapText="1"/>
    </xf>
    <xf numFmtId="1" fontId="10" fillId="1" borderId="0" xfId="0" applyNumberFormat="1" applyFont="1" applyFill="1">
      <alignment wrapText="1"/>
    </xf>
    <xf numFmtId="0" fontId="0" fillId="0" borderId="1" xfId="0" applyBorder="1" applyAlignment="1">
      <alignment horizontal="center"/>
    </xf>
    <xf numFmtId="165" fontId="0" fillId="0" borderId="1" xfId="0" applyNumberFormat="1" applyBorder="1" applyAlignment="1">
      <alignment horizontal="center"/>
    </xf>
    <xf numFmtId="165" fontId="10" fillId="0" borderId="1" xfId="0" applyNumberFormat="1" applyFont="1" applyBorder="1" applyAlignment="1">
      <alignment horizontal="center"/>
    </xf>
    <xf numFmtId="1" fontId="7" fillId="0" borderId="0" xfId="0" applyNumberFormat="1" applyFont="1" applyAlignment="1">
      <alignment horizontal="centerContinuous"/>
    </xf>
    <xf numFmtId="1" fontId="0" fillId="0" borderId="0" xfId="0" applyNumberFormat="1" applyAlignment="1">
      <alignment horizontal="centerContinuous"/>
    </xf>
    <xf numFmtId="1" fontId="0" fillId="0" borderId="0" xfId="0" quotePrefix="1" applyNumberFormat="1">
      <alignment wrapText="1"/>
    </xf>
    <xf numFmtId="1" fontId="0" fillId="0" borderId="1" xfId="0" applyNumberFormat="1" applyBorder="1" applyAlignment="1">
      <alignment horizontal="right"/>
    </xf>
    <xf numFmtId="1" fontId="2" fillId="0" borderId="0" xfId="0" applyNumberFormat="1" applyFont="1">
      <alignment wrapText="1"/>
    </xf>
    <xf numFmtId="1" fontId="2" fillId="0" borderId="0" xfId="0" applyNumberFormat="1" applyFont="1" applyBorder="1" applyAlignment="1">
      <alignment horizontal="center"/>
    </xf>
    <xf numFmtId="1" fontId="0" fillId="0" borderId="0" xfId="0" applyNumberFormat="1" applyBorder="1">
      <alignment wrapText="1"/>
    </xf>
    <xf numFmtId="166" fontId="0" fillId="0" borderId="0" xfId="0" applyNumberFormat="1">
      <alignment wrapText="1"/>
    </xf>
    <xf numFmtId="0" fontId="12" fillId="0" borderId="0" xfId="0" applyFont="1">
      <alignment wrapText="1"/>
    </xf>
    <xf numFmtId="164" fontId="0" fillId="0" borderId="0" xfId="0" applyNumberFormat="1" applyAlignment="1"/>
    <xf numFmtId="0" fontId="11" fillId="0" borderId="0" xfId="0" applyFont="1" applyAlignment="1"/>
    <xf numFmtId="0" fontId="0" fillId="0" borderId="0" xfId="0" applyAlignment="1"/>
    <xf numFmtId="0" fontId="9" fillId="0" borderId="0" xfId="0" applyFont="1" applyAlignment="1"/>
    <xf numFmtId="0" fontId="2" fillId="0" borderId="0" xfId="0" applyFont="1" applyAlignment="1"/>
    <xf numFmtId="165" fontId="0" fillId="0" borderId="0" xfId="0" applyNumberFormat="1" applyAlignment="1"/>
    <xf numFmtId="165" fontId="2" fillId="0" borderId="0" xfId="0" applyNumberFormat="1" applyFont="1" applyAlignment="1"/>
    <xf numFmtId="9" fontId="0" fillId="0" borderId="0" xfId="0" applyNumberFormat="1" applyAlignment="1"/>
    <xf numFmtId="0" fontId="0" fillId="0" borderId="0" xfId="0" applyBorder="1" applyAlignment="1"/>
    <xf numFmtId="0" fontId="4" fillId="0" borderId="0" xfId="0" applyFont="1" applyAlignment="1"/>
    <xf numFmtId="0" fontId="11" fillId="0" borderId="0" xfId="0" applyFont="1" applyBorder="1" applyAlignment="1"/>
    <xf numFmtId="0" fontId="0" fillId="1" borderId="0" xfId="0" applyFill="1" applyAlignment="1"/>
    <xf numFmtId="0" fontId="5" fillId="0" borderId="0" xfId="0" applyFont="1" applyAlignment="1"/>
    <xf numFmtId="0" fontId="6" fillId="0" borderId="0" xfId="0" applyFont="1" applyAlignment="1"/>
    <xf numFmtId="0" fontId="0" fillId="2" borderId="0" xfId="0" applyFill="1" applyAlignment="1"/>
    <xf numFmtId="3" fontId="0" fillId="0" borderId="0" xfId="0" applyNumberFormat="1" applyAlignment="1"/>
    <xf numFmtId="1" fontId="10" fillId="0" borderId="0" xfId="0" applyNumberFormat="1" applyFont="1" applyBorder="1">
      <alignment wrapText="1"/>
    </xf>
    <xf numFmtId="1" fontId="1" fillId="1" borderId="0" xfId="0" applyNumberFormat="1" applyFont="1" applyFill="1">
      <alignment wrapText="1"/>
    </xf>
    <xf numFmtId="0" fontId="1" fillId="0" borderId="0" xfId="0" applyFont="1" applyAlignment="1">
      <alignment horizontal="right"/>
    </xf>
    <xf numFmtId="0" fontId="1" fillId="0" borderId="0" xfId="0" applyFont="1">
      <alignment wrapText="1"/>
    </xf>
    <xf numFmtId="0" fontId="10" fillId="0" borderId="1" xfId="0" applyFont="1" applyBorder="1" applyAlignment="1">
      <alignment horizontal="right"/>
    </xf>
    <xf numFmtId="1" fontId="10" fillId="0" borderId="1" xfId="0" applyNumberFormat="1" applyFont="1" applyBorder="1" applyAlignment="1">
      <alignment horizontal="right"/>
    </xf>
    <xf numFmtId="0" fontId="10" fillId="0" borderId="0" xfId="0" applyFont="1" applyAlignment="1"/>
    <xf numFmtId="0" fontId="0" fillId="0" borderId="0" xfId="0" applyFill="1" applyBorder="1" applyAlignment="1">
      <alignment horizontal="right"/>
    </xf>
    <xf numFmtId="0" fontId="10" fillId="0" borderId="0" xfId="0" applyFont="1" applyFill="1" applyBorder="1">
      <alignment wrapText="1"/>
    </xf>
    <xf numFmtId="1" fontId="10" fillId="0" borderId="0" xfId="0" applyNumberFormat="1" applyFont="1" applyAlignment="1">
      <alignment horizontal="right" wrapText="1"/>
    </xf>
    <xf numFmtId="9" fontId="10" fillId="0" borderId="0" xfId="0" applyNumberFormat="1" applyFont="1" applyAlignment="1">
      <alignment horizontal="right" wrapText="1"/>
    </xf>
    <xf numFmtId="9" fontId="0" fillId="0" borderId="0" xfId="0" applyNumberFormat="1" applyAlignment="1">
      <alignment wrapText="1"/>
    </xf>
    <xf numFmtId="9" fontId="10" fillId="0" borderId="0" xfId="0" applyNumberFormat="1" applyFont="1" applyAlignment="1">
      <alignment wrapText="1"/>
    </xf>
    <xf numFmtId="0" fontId="0" fillId="0" borderId="0" xfId="0" applyAlignment="1">
      <alignment horizontal="right" wrapText="1"/>
    </xf>
    <xf numFmtId="49" fontId="10" fillId="0" borderId="0" xfId="0" applyNumberFormat="1" applyFont="1" applyAlignment="1">
      <alignment horizontal="right" wrapText="1"/>
    </xf>
    <xf numFmtId="0" fontId="2" fillId="0" borderId="0" xfId="0" applyFont="1" applyAlignment="1">
      <alignment horizontal="right"/>
    </xf>
    <xf numFmtId="3" fontId="0" fillId="0" borderId="0" xfId="0" applyNumberFormat="1" applyAlignment="1">
      <alignment horizontal="right" wrapText="1"/>
    </xf>
    <xf numFmtId="3" fontId="0" fillId="0" borderId="0" xfId="0" applyNumberFormat="1" applyFill="1" applyAlignment="1">
      <alignment horizontal="right" wrapText="1"/>
    </xf>
    <xf numFmtId="3" fontId="10" fillId="0" borderId="0" xfId="0" applyNumberFormat="1" applyFont="1">
      <alignment wrapText="1"/>
    </xf>
    <xf numFmtId="3" fontId="10" fillId="0" borderId="0" xfId="0" applyNumberFormat="1" applyFont="1" applyFill="1">
      <alignment wrapText="1"/>
    </xf>
    <xf numFmtId="0" fontId="1" fillId="0" borderId="1" xfId="0" applyFont="1" applyBorder="1" applyAlignment="1">
      <alignment horizontal="right"/>
    </xf>
    <xf numFmtId="1" fontId="1" fillId="0" borderId="1" xfId="0" applyNumberFormat="1" applyFont="1" applyBorder="1" applyAlignment="1">
      <alignment horizontal="right"/>
    </xf>
    <xf numFmtId="0" fontId="1" fillId="0" borderId="0" xfId="0" applyFont="1" applyAlignment="1"/>
    <xf numFmtId="165" fontId="0" fillId="0" borderId="0" xfId="0" applyNumberFormat="1" applyFill="1">
      <alignment wrapText="1"/>
    </xf>
    <xf numFmtId="165" fontId="1" fillId="0" borderId="0" xfId="0" applyNumberFormat="1" applyFont="1">
      <alignment wrapText="1"/>
    </xf>
    <xf numFmtId="165" fontId="1" fillId="0" borderId="1" xfId="0" applyNumberFormat="1" applyFont="1" applyBorder="1" applyAlignment="1">
      <alignment horizontal="center"/>
    </xf>
    <xf numFmtId="164" fontId="1" fillId="0" borderId="0" xfId="0" applyNumberFormat="1" applyFont="1">
      <alignment wrapText="1"/>
    </xf>
    <xf numFmtId="1" fontId="1" fillId="0" borderId="0" xfId="0" applyNumberFormat="1" applyFont="1">
      <alignment wrapText="1"/>
    </xf>
    <xf numFmtId="0" fontId="1" fillId="0" borderId="0" xfId="0" applyFont="1" applyFill="1" applyBorder="1">
      <alignment wrapText="1"/>
    </xf>
    <xf numFmtId="49" fontId="1" fillId="0" borderId="0" xfId="0" applyNumberFormat="1" applyFont="1" applyAlignment="1">
      <alignment horizontal="right" wrapText="1"/>
    </xf>
    <xf numFmtId="0" fontId="16" fillId="0" borderId="0" xfId="2" applyAlignment="1"/>
    <xf numFmtId="9" fontId="0" fillId="0" borderId="0" xfId="0" applyNumberFormat="1" applyFill="1">
      <alignment wrapText="1"/>
    </xf>
    <xf numFmtId="3" fontId="1" fillId="0" borderId="0" xfId="0" applyNumberFormat="1" applyFont="1" applyFill="1">
      <alignment wrapText="1"/>
    </xf>
    <xf numFmtId="9" fontId="1" fillId="0" borderId="0" xfId="0" applyNumberFormat="1" applyFont="1">
      <alignment wrapText="1"/>
    </xf>
    <xf numFmtId="1" fontId="0" fillId="0" borderId="0" xfId="0" applyNumberFormat="1" applyFill="1">
      <alignment wrapText="1"/>
    </xf>
    <xf numFmtId="9" fontId="10" fillId="0" borderId="0" xfId="0" applyNumberFormat="1" applyFont="1" applyFill="1">
      <alignment wrapText="1"/>
    </xf>
    <xf numFmtId="9" fontId="0" fillId="0" borderId="0" xfId="0" applyNumberFormat="1" applyFill="1" applyAlignment="1">
      <alignment wrapText="1"/>
    </xf>
    <xf numFmtId="9" fontId="10" fillId="0" borderId="0" xfId="0" applyNumberFormat="1" applyFont="1" applyFill="1" applyAlignment="1">
      <alignment horizontal="right" wrapText="1"/>
    </xf>
    <xf numFmtId="0" fontId="0" fillId="0" borderId="0" xfId="0" applyFill="1" applyAlignment="1"/>
    <xf numFmtId="164" fontId="0" fillId="0" borderId="0" xfId="0" applyNumberFormat="1" applyFill="1">
      <alignment wrapText="1"/>
    </xf>
    <xf numFmtId="164" fontId="0" fillId="0" borderId="0" xfId="0" applyNumberFormat="1" applyFill="1" applyAlignment="1">
      <alignment horizontal="right"/>
    </xf>
    <xf numFmtId="164" fontId="10" fillId="0" borderId="0" xfId="0" applyNumberFormat="1" applyFont="1" applyFill="1">
      <alignment wrapText="1"/>
    </xf>
    <xf numFmtId="0" fontId="0" fillId="0" borderId="0" xfId="0" applyFill="1">
      <alignment wrapText="1"/>
    </xf>
    <xf numFmtId="164" fontId="2" fillId="0" borderId="0" xfId="0" applyNumberFormat="1" applyFont="1" applyFill="1">
      <alignment wrapText="1"/>
    </xf>
    <xf numFmtId="164" fontId="13" fillId="0" borderId="0" xfId="0" applyNumberFormat="1" applyFont="1" applyFill="1" applyAlignment="1"/>
    <xf numFmtId="0" fontId="0" fillId="0" borderId="0" xfId="0" applyFill="1" applyAlignment="1">
      <alignment horizontal="center"/>
    </xf>
    <xf numFmtId="3" fontId="1" fillId="0" borderId="0" xfId="0" applyNumberFormat="1" applyFont="1" applyFill="1" applyAlignment="1">
      <alignment horizontal="right" wrapText="1"/>
    </xf>
    <xf numFmtId="0" fontId="1" fillId="0" borderId="0" xfId="0" applyFont="1" applyAlignment="1">
      <alignment wrapText="1"/>
    </xf>
    <xf numFmtId="0" fontId="0" fillId="0" borderId="0" xfId="0" applyAlignment="1">
      <alignment wrapText="1"/>
    </xf>
    <xf numFmtId="0" fontId="0" fillId="0" borderId="0" xfId="0" applyAlignment="1">
      <alignment horizontal="justify" wrapText="1"/>
    </xf>
    <xf numFmtId="0" fontId="0" fillId="0" borderId="0" xfId="0" applyAlignment="1">
      <alignment horizontal="left" wrapText="1" readingOrder="1"/>
    </xf>
    <xf numFmtId="0" fontId="10" fillId="0" borderId="0" xfId="0" applyFont="1" applyAlignment="1">
      <alignment wrapText="1" readingOrder="1"/>
    </xf>
    <xf numFmtId="0" fontId="0" fillId="0" borderId="0" xfId="0" applyAlignment="1">
      <alignment wrapText="1" readingOrder="1"/>
    </xf>
    <xf numFmtId="0" fontId="14" fillId="0" borderId="0" xfId="0" applyFont="1" applyAlignment="1">
      <alignment wrapText="1"/>
    </xf>
    <xf numFmtId="9" fontId="1" fillId="0" borderId="0" xfId="0" applyNumberFormat="1" applyFont="1" applyFill="1">
      <alignment wrapText="1"/>
    </xf>
    <xf numFmtId="0" fontId="2" fillId="0" borderId="0" xfId="0" applyFont="1" applyFill="1">
      <alignment wrapText="1"/>
    </xf>
    <xf numFmtId="165" fontId="2" fillId="0" borderId="0" xfId="0" applyNumberFormat="1" applyFont="1" applyFill="1">
      <alignment wrapText="1"/>
    </xf>
    <xf numFmtId="49" fontId="10" fillId="0" borderId="0" xfId="0" applyNumberFormat="1" applyFont="1" applyFill="1" applyAlignment="1">
      <alignment horizontal="right" wrapText="1"/>
    </xf>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Rockwell"/>
                <a:ea typeface="Rockwell"/>
                <a:cs typeface="Rockwell"/>
              </a:defRPr>
            </a:pPr>
            <a:r>
              <a:rPr lang="en-US"/>
              <a:t>HEADCOUNT BY CLASS LEVEL</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v>Freshmen</c:v>
          </c:tx>
          <c:invertIfNegative val="0"/>
          <c:cat>
            <c:strRef>
              <c:f>'HDCT by class graph'!$B$37:$Q$37</c:f>
              <c:strCache>
                <c:ptCount val="16"/>
                <c:pt idx="0">
                  <c:v>FALL 03</c:v>
                </c:pt>
                <c:pt idx="1">
                  <c:v>FALL 04</c:v>
                </c:pt>
                <c:pt idx="2">
                  <c:v>FALL 05</c:v>
                </c:pt>
                <c:pt idx="3">
                  <c:v>FALL 06</c:v>
                </c:pt>
                <c:pt idx="4">
                  <c:v>FALL 07</c:v>
                </c:pt>
                <c:pt idx="5">
                  <c:v>FALL 08</c:v>
                </c:pt>
                <c:pt idx="6">
                  <c:v>FALL 09</c:v>
                </c:pt>
                <c:pt idx="7">
                  <c:v>FALL 10</c:v>
                </c:pt>
                <c:pt idx="8">
                  <c:v>FALL 11</c:v>
                </c:pt>
                <c:pt idx="9">
                  <c:v>FALL 12</c:v>
                </c:pt>
                <c:pt idx="10">
                  <c:v>FALL 13</c:v>
                </c:pt>
                <c:pt idx="11">
                  <c:v>FALL 14</c:v>
                </c:pt>
                <c:pt idx="12">
                  <c:v>FALL 15</c:v>
                </c:pt>
                <c:pt idx="13">
                  <c:v>FALL 16</c:v>
                </c:pt>
                <c:pt idx="14">
                  <c:v>FALL 17</c:v>
                </c:pt>
                <c:pt idx="15">
                  <c:v>FALL 18</c:v>
                </c:pt>
              </c:strCache>
            </c:strRef>
          </c:cat>
          <c:val>
            <c:numRef>
              <c:f>'HDCT by class graph'!$B$38:$Q$38</c:f>
              <c:numCache>
                <c:formatCode>#,##0</c:formatCode>
                <c:ptCount val="16"/>
                <c:pt idx="0">
                  <c:v>1941</c:v>
                </c:pt>
                <c:pt idx="1">
                  <c:v>2134</c:v>
                </c:pt>
                <c:pt idx="2">
                  <c:v>2406</c:v>
                </c:pt>
                <c:pt idx="3">
                  <c:v>2414</c:v>
                </c:pt>
                <c:pt idx="4">
                  <c:v>2398</c:v>
                </c:pt>
                <c:pt idx="5">
                  <c:v>2494</c:v>
                </c:pt>
                <c:pt idx="6">
                  <c:v>2576</c:v>
                </c:pt>
                <c:pt idx="7">
                  <c:v>2653</c:v>
                </c:pt>
                <c:pt idx="8">
                  <c:v>2579</c:v>
                </c:pt>
                <c:pt idx="9">
                  <c:v>2419</c:v>
                </c:pt>
                <c:pt idx="10">
                  <c:v>2366</c:v>
                </c:pt>
                <c:pt idx="11">
                  <c:v>2561</c:v>
                </c:pt>
                <c:pt idx="12">
                  <c:v>2308</c:v>
                </c:pt>
                <c:pt idx="13">
                  <c:v>2204</c:v>
                </c:pt>
                <c:pt idx="14">
                  <c:v>2455</c:v>
                </c:pt>
                <c:pt idx="15">
                  <c:v>2683</c:v>
                </c:pt>
              </c:numCache>
            </c:numRef>
          </c:val>
        </c:ser>
        <c:ser>
          <c:idx val="1"/>
          <c:order val="1"/>
          <c:tx>
            <c:v>Sophomores</c:v>
          </c:tx>
          <c:invertIfNegative val="0"/>
          <c:cat>
            <c:strRef>
              <c:f>'HDCT by class graph'!$B$37:$Q$37</c:f>
              <c:strCache>
                <c:ptCount val="16"/>
                <c:pt idx="0">
                  <c:v>FALL 03</c:v>
                </c:pt>
                <c:pt idx="1">
                  <c:v>FALL 04</c:v>
                </c:pt>
                <c:pt idx="2">
                  <c:v>FALL 05</c:v>
                </c:pt>
                <c:pt idx="3">
                  <c:v>FALL 06</c:v>
                </c:pt>
                <c:pt idx="4">
                  <c:v>FALL 07</c:v>
                </c:pt>
                <c:pt idx="5">
                  <c:v>FALL 08</c:v>
                </c:pt>
                <c:pt idx="6">
                  <c:v>FALL 09</c:v>
                </c:pt>
                <c:pt idx="7">
                  <c:v>FALL 10</c:v>
                </c:pt>
                <c:pt idx="8">
                  <c:v>FALL 11</c:v>
                </c:pt>
                <c:pt idx="9">
                  <c:v>FALL 12</c:v>
                </c:pt>
                <c:pt idx="10">
                  <c:v>FALL 13</c:v>
                </c:pt>
                <c:pt idx="11">
                  <c:v>FALL 14</c:v>
                </c:pt>
                <c:pt idx="12">
                  <c:v>FALL 15</c:v>
                </c:pt>
                <c:pt idx="13">
                  <c:v>FALL 16</c:v>
                </c:pt>
                <c:pt idx="14">
                  <c:v>FALL 17</c:v>
                </c:pt>
                <c:pt idx="15">
                  <c:v>FALL 18</c:v>
                </c:pt>
              </c:strCache>
            </c:strRef>
          </c:cat>
          <c:val>
            <c:numRef>
              <c:f>'HDCT by class graph'!$B$39:$Q$39</c:f>
              <c:numCache>
                <c:formatCode>#,##0</c:formatCode>
                <c:ptCount val="16"/>
                <c:pt idx="0">
                  <c:v>957</c:v>
                </c:pt>
                <c:pt idx="1">
                  <c:v>886</c:v>
                </c:pt>
                <c:pt idx="2">
                  <c:v>803</c:v>
                </c:pt>
                <c:pt idx="3">
                  <c:v>867</c:v>
                </c:pt>
                <c:pt idx="4">
                  <c:v>898</c:v>
                </c:pt>
                <c:pt idx="5">
                  <c:v>947</c:v>
                </c:pt>
                <c:pt idx="6">
                  <c:v>1010</c:v>
                </c:pt>
                <c:pt idx="7">
                  <c:v>1087</c:v>
                </c:pt>
                <c:pt idx="8">
                  <c:v>1155</c:v>
                </c:pt>
                <c:pt idx="9">
                  <c:v>1027</c:v>
                </c:pt>
                <c:pt idx="10">
                  <c:v>885</c:v>
                </c:pt>
                <c:pt idx="11">
                  <c:v>921</c:v>
                </c:pt>
                <c:pt idx="12">
                  <c:v>876</c:v>
                </c:pt>
                <c:pt idx="13">
                  <c:v>827</c:v>
                </c:pt>
                <c:pt idx="14">
                  <c:v>788</c:v>
                </c:pt>
                <c:pt idx="15">
                  <c:v>788</c:v>
                </c:pt>
              </c:numCache>
            </c:numRef>
          </c:val>
        </c:ser>
        <c:ser>
          <c:idx val="2"/>
          <c:order val="2"/>
          <c:tx>
            <c:v>Juniors</c:v>
          </c:tx>
          <c:invertIfNegative val="0"/>
          <c:cat>
            <c:strRef>
              <c:f>'HDCT by class graph'!$B$37:$Q$37</c:f>
              <c:strCache>
                <c:ptCount val="16"/>
                <c:pt idx="0">
                  <c:v>FALL 03</c:v>
                </c:pt>
                <c:pt idx="1">
                  <c:v>FALL 04</c:v>
                </c:pt>
                <c:pt idx="2">
                  <c:v>FALL 05</c:v>
                </c:pt>
                <c:pt idx="3">
                  <c:v>FALL 06</c:v>
                </c:pt>
                <c:pt idx="4">
                  <c:v>FALL 07</c:v>
                </c:pt>
                <c:pt idx="5">
                  <c:v>FALL 08</c:v>
                </c:pt>
                <c:pt idx="6">
                  <c:v>FALL 09</c:v>
                </c:pt>
                <c:pt idx="7">
                  <c:v>FALL 10</c:v>
                </c:pt>
                <c:pt idx="8">
                  <c:v>FALL 11</c:v>
                </c:pt>
                <c:pt idx="9">
                  <c:v>FALL 12</c:v>
                </c:pt>
                <c:pt idx="10">
                  <c:v>FALL 13</c:v>
                </c:pt>
                <c:pt idx="11">
                  <c:v>FALL 14</c:v>
                </c:pt>
                <c:pt idx="12">
                  <c:v>FALL 15</c:v>
                </c:pt>
                <c:pt idx="13">
                  <c:v>FALL 16</c:v>
                </c:pt>
                <c:pt idx="14">
                  <c:v>FALL 17</c:v>
                </c:pt>
                <c:pt idx="15">
                  <c:v>FALL 18</c:v>
                </c:pt>
              </c:strCache>
            </c:strRef>
          </c:cat>
          <c:val>
            <c:numRef>
              <c:f>'HDCT by class graph'!$B$40:$Q$40</c:f>
              <c:numCache>
                <c:formatCode>#,##0</c:formatCode>
                <c:ptCount val="16"/>
                <c:pt idx="0">
                  <c:v>816</c:v>
                </c:pt>
                <c:pt idx="1">
                  <c:v>863</c:v>
                </c:pt>
                <c:pt idx="2">
                  <c:v>817</c:v>
                </c:pt>
                <c:pt idx="3">
                  <c:v>758</c:v>
                </c:pt>
                <c:pt idx="4">
                  <c:v>807</c:v>
                </c:pt>
                <c:pt idx="5">
                  <c:v>779</c:v>
                </c:pt>
                <c:pt idx="6">
                  <c:v>878</c:v>
                </c:pt>
                <c:pt idx="7">
                  <c:v>953</c:v>
                </c:pt>
                <c:pt idx="8">
                  <c:v>993</c:v>
                </c:pt>
                <c:pt idx="9">
                  <c:v>1039</c:v>
                </c:pt>
                <c:pt idx="10">
                  <c:v>929</c:v>
                </c:pt>
                <c:pt idx="11">
                  <c:v>854</c:v>
                </c:pt>
                <c:pt idx="12">
                  <c:v>828</c:v>
                </c:pt>
                <c:pt idx="13">
                  <c:v>880</c:v>
                </c:pt>
                <c:pt idx="14">
                  <c:v>847</c:v>
                </c:pt>
                <c:pt idx="15">
                  <c:v>815</c:v>
                </c:pt>
              </c:numCache>
            </c:numRef>
          </c:val>
        </c:ser>
        <c:ser>
          <c:idx val="3"/>
          <c:order val="3"/>
          <c:tx>
            <c:v>Seniors</c:v>
          </c:tx>
          <c:invertIfNegative val="0"/>
          <c:cat>
            <c:strRef>
              <c:f>'HDCT by class graph'!$B$37:$Q$37</c:f>
              <c:strCache>
                <c:ptCount val="16"/>
                <c:pt idx="0">
                  <c:v>FALL 03</c:v>
                </c:pt>
                <c:pt idx="1">
                  <c:v>FALL 04</c:v>
                </c:pt>
                <c:pt idx="2">
                  <c:v>FALL 05</c:v>
                </c:pt>
                <c:pt idx="3">
                  <c:v>FALL 06</c:v>
                </c:pt>
                <c:pt idx="4">
                  <c:v>FALL 07</c:v>
                </c:pt>
                <c:pt idx="5">
                  <c:v>FALL 08</c:v>
                </c:pt>
                <c:pt idx="6">
                  <c:v>FALL 09</c:v>
                </c:pt>
                <c:pt idx="7">
                  <c:v>FALL 10</c:v>
                </c:pt>
                <c:pt idx="8">
                  <c:v>FALL 11</c:v>
                </c:pt>
                <c:pt idx="9">
                  <c:v>FALL 12</c:v>
                </c:pt>
                <c:pt idx="10">
                  <c:v>FALL 13</c:v>
                </c:pt>
                <c:pt idx="11">
                  <c:v>FALL 14</c:v>
                </c:pt>
                <c:pt idx="12">
                  <c:v>FALL 15</c:v>
                </c:pt>
                <c:pt idx="13">
                  <c:v>FALL 16</c:v>
                </c:pt>
                <c:pt idx="14">
                  <c:v>FALL 17</c:v>
                </c:pt>
                <c:pt idx="15">
                  <c:v>FALL 18</c:v>
                </c:pt>
              </c:strCache>
            </c:strRef>
          </c:cat>
          <c:val>
            <c:numRef>
              <c:f>'HDCT by class graph'!$B$41:$Q$41</c:f>
              <c:numCache>
                <c:formatCode>#,##0</c:formatCode>
                <c:ptCount val="16"/>
                <c:pt idx="0">
                  <c:v>1248</c:v>
                </c:pt>
                <c:pt idx="1">
                  <c:v>1222</c:v>
                </c:pt>
                <c:pt idx="2">
                  <c:v>1245</c:v>
                </c:pt>
                <c:pt idx="3">
                  <c:v>1256</c:v>
                </c:pt>
                <c:pt idx="4">
                  <c:v>1216</c:v>
                </c:pt>
                <c:pt idx="5">
                  <c:v>1250</c:v>
                </c:pt>
                <c:pt idx="6">
                  <c:v>1201</c:v>
                </c:pt>
                <c:pt idx="7">
                  <c:v>1317</c:v>
                </c:pt>
                <c:pt idx="8">
                  <c:v>1408</c:v>
                </c:pt>
                <c:pt idx="9">
                  <c:v>1418</c:v>
                </c:pt>
                <c:pt idx="10">
                  <c:v>1464</c:v>
                </c:pt>
                <c:pt idx="11">
                  <c:v>1406</c:v>
                </c:pt>
                <c:pt idx="12">
                  <c:v>1340</c:v>
                </c:pt>
                <c:pt idx="13">
                  <c:v>1234</c:v>
                </c:pt>
                <c:pt idx="14">
                  <c:v>1231</c:v>
                </c:pt>
                <c:pt idx="15">
                  <c:v>1179</c:v>
                </c:pt>
              </c:numCache>
            </c:numRef>
          </c:val>
        </c:ser>
        <c:ser>
          <c:idx val="4"/>
          <c:order val="4"/>
          <c:tx>
            <c:v>Graduate</c:v>
          </c:tx>
          <c:invertIfNegative val="0"/>
          <c:cat>
            <c:strRef>
              <c:f>'HDCT by class graph'!$B$37:$Q$37</c:f>
              <c:strCache>
                <c:ptCount val="16"/>
                <c:pt idx="0">
                  <c:v>FALL 03</c:v>
                </c:pt>
                <c:pt idx="1">
                  <c:v>FALL 04</c:v>
                </c:pt>
                <c:pt idx="2">
                  <c:v>FALL 05</c:v>
                </c:pt>
                <c:pt idx="3">
                  <c:v>FALL 06</c:v>
                </c:pt>
                <c:pt idx="4">
                  <c:v>FALL 07</c:v>
                </c:pt>
                <c:pt idx="5">
                  <c:v>FALL 08</c:v>
                </c:pt>
                <c:pt idx="6">
                  <c:v>FALL 09</c:v>
                </c:pt>
                <c:pt idx="7">
                  <c:v>FALL 10</c:v>
                </c:pt>
                <c:pt idx="8">
                  <c:v>FALL 11</c:v>
                </c:pt>
                <c:pt idx="9">
                  <c:v>FALL 12</c:v>
                </c:pt>
                <c:pt idx="10">
                  <c:v>FALL 13</c:v>
                </c:pt>
                <c:pt idx="11">
                  <c:v>FALL 14</c:v>
                </c:pt>
                <c:pt idx="12">
                  <c:v>FALL 15</c:v>
                </c:pt>
                <c:pt idx="13">
                  <c:v>FALL 16</c:v>
                </c:pt>
                <c:pt idx="14">
                  <c:v>FALL 17</c:v>
                </c:pt>
                <c:pt idx="15">
                  <c:v>FALL 18</c:v>
                </c:pt>
              </c:strCache>
            </c:strRef>
          </c:cat>
          <c:val>
            <c:numRef>
              <c:f>'HDCT by class graph'!$B$42:$Q$42</c:f>
              <c:numCache>
                <c:formatCode>#,##0</c:formatCode>
                <c:ptCount val="16"/>
                <c:pt idx="4">
                  <c:v>41</c:v>
                </c:pt>
                <c:pt idx="5">
                  <c:v>65</c:v>
                </c:pt>
                <c:pt idx="6">
                  <c:v>70</c:v>
                </c:pt>
                <c:pt idx="7">
                  <c:v>124</c:v>
                </c:pt>
                <c:pt idx="8">
                  <c:v>161</c:v>
                </c:pt>
                <c:pt idx="9">
                  <c:v>171</c:v>
                </c:pt>
                <c:pt idx="10">
                  <c:v>179</c:v>
                </c:pt>
                <c:pt idx="11">
                  <c:v>184</c:v>
                </c:pt>
                <c:pt idx="12">
                  <c:v>219</c:v>
                </c:pt>
                <c:pt idx="13">
                  <c:v>243</c:v>
                </c:pt>
                <c:pt idx="14">
                  <c:v>241</c:v>
                </c:pt>
                <c:pt idx="15">
                  <c:v>235</c:v>
                </c:pt>
              </c:numCache>
            </c:numRef>
          </c:val>
        </c:ser>
        <c:dLbls>
          <c:showLegendKey val="0"/>
          <c:showVal val="0"/>
          <c:showCatName val="0"/>
          <c:showSerName val="0"/>
          <c:showPercent val="0"/>
          <c:showBubbleSize val="0"/>
        </c:dLbls>
        <c:gapWidth val="150"/>
        <c:shape val="box"/>
        <c:axId val="104355328"/>
        <c:axId val="104356864"/>
        <c:axId val="0"/>
      </c:bar3DChart>
      <c:catAx>
        <c:axId val="104355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Rockwell"/>
                <a:ea typeface="Rockwell"/>
                <a:cs typeface="Rockwell"/>
              </a:defRPr>
            </a:pPr>
            <a:endParaRPr lang="en-US"/>
          </a:p>
        </c:txPr>
        <c:crossAx val="104356864"/>
        <c:crosses val="autoZero"/>
        <c:auto val="1"/>
        <c:lblAlgn val="ctr"/>
        <c:lblOffset val="100"/>
        <c:noMultiLvlLbl val="0"/>
      </c:catAx>
      <c:valAx>
        <c:axId val="10435686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Rockwell"/>
                <a:ea typeface="Rockwell"/>
                <a:cs typeface="Rockwell"/>
              </a:defRPr>
            </a:pPr>
            <a:endParaRPr lang="en-US"/>
          </a:p>
        </c:txPr>
        <c:crossAx val="104355328"/>
        <c:crosses val="autoZero"/>
        <c:crossBetween val="between"/>
      </c:valAx>
      <c:spPr>
        <a:noFill/>
        <a:ln w="25400">
          <a:noFill/>
        </a:ln>
      </c:spPr>
    </c:plotArea>
    <c:legend>
      <c:legendPos val="r"/>
      <c:layout/>
      <c:overlay val="0"/>
      <c:txPr>
        <a:bodyPr/>
        <a:lstStyle/>
        <a:p>
          <a:pPr>
            <a:defRPr sz="920" b="0" i="0" u="none" strike="noStrike" baseline="0">
              <a:solidFill>
                <a:srgbClr val="000000"/>
              </a:solidFill>
              <a:latin typeface="Rockwell"/>
              <a:ea typeface="Rockwell"/>
              <a:cs typeface="Rockwell"/>
            </a:defRPr>
          </a:pPr>
          <a:endParaRPr lang="en-US"/>
        </a:p>
      </c:txPr>
    </c:legend>
    <c:plotVisOnly val="1"/>
    <c:dispBlanksAs val="gap"/>
    <c:showDLblsOverMax val="0"/>
  </c:chart>
  <c:txPr>
    <a:bodyPr/>
    <a:lstStyle/>
    <a:p>
      <a:pPr>
        <a:defRPr sz="1000" b="0" i="0" u="none" strike="noStrike" baseline="0">
          <a:solidFill>
            <a:srgbClr val="000000"/>
          </a:solidFill>
          <a:latin typeface="Rockwell"/>
          <a:ea typeface="Rockwell"/>
          <a:cs typeface="Rockwell"/>
        </a:defRPr>
      </a:pPr>
      <a:endParaRPr lang="en-US"/>
    </a:p>
  </c:txPr>
  <c:printSettings>
    <c:headerFooter/>
    <c:pageMargins b="0.75000000000000033" l="0.70000000000000029" r="0.70000000000000029" t="0.75000000000000033" header="0.30000000000000016" footer="0.30000000000000016"/>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123825</xdr:rowOff>
    </xdr:from>
    <xdr:to>
      <xdr:col>12</xdr:col>
      <xdr:colOff>57150</xdr:colOff>
      <xdr:row>32</xdr:row>
      <xdr:rowOff>133350</xdr:rowOff>
    </xdr:to>
    <xdr:graphicFrame macro="">
      <xdr:nvGraphicFramePr>
        <xdr:cNvPr id="420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he.mo.gov/data/statsu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zoomScaleNormal="100" workbookViewId="0">
      <pane xSplit="1" topLeftCell="B1" activePane="topRight" state="frozen"/>
      <selection activeCell="A23" sqref="A23"/>
      <selection pane="topRight"/>
    </sheetView>
  </sheetViews>
  <sheetFormatPr defaultRowHeight="13.2" x14ac:dyDescent="0.25"/>
  <cols>
    <col min="1" max="1" width="23.6640625" style="51" customWidth="1"/>
    <col min="2" max="5" width="9.109375" customWidth="1"/>
    <col min="6" max="6" width="9.33203125" customWidth="1"/>
    <col min="7" max="8" width="8.88671875" customWidth="1"/>
    <col min="19" max="19" width="9.109375" bestFit="1" customWidth="1"/>
    <col min="20" max="20" width="9.109375" customWidth="1"/>
    <col min="21" max="22" width="9.109375" bestFit="1" customWidth="1"/>
    <col min="23" max="25" width="9.109375" customWidth="1"/>
    <col min="26" max="27" width="9.109375" bestFit="1" customWidth="1"/>
  </cols>
  <sheetData>
    <row r="1" spans="1:28" ht="17.399999999999999" x14ac:dyDescent="0.3">
      <c r="A1" s="4" t="s">
        <v>48</v>
      </c>
      <c r="B1" s="4"/>
      <c r="C1" s="5"/>
      <c r="D1" s="5"/>
      <c r="E1" s="5"/>
      <c r="F1" s="5"/>
      <c r="G1" s="5"/>
      <c r="H1" s="5"/>
      <c r="I1" s="5"/>
      <c r="J1" s="5"/>
      <c r="K1" s="5"/>
      <c r="L1" s="5"/>
      <c r="M1" s="5"/>
      <c r="N1" s="5"/>
      <c r="O1" s="5"/>
      <c r="P1" s="5"/>
      <c r="Q1" s="5"/>
      <c r="R1" s="5"/>
      <c r="S1" s="5"/>
      <c r="T1" s="5"/>
      <c r="U1" s="5"/>
    </row>
    <row r="2" spans="1:28" ht="17.399999999999999" x14ac:dyDescent="0.3">
      <c r="A2" s="4" t="s">
        <v>152</v>
      </c>
      <c r="B2" s="4"/>
      <c r="C2" s="5"/>
      <c r="D2" s="5"/>
      <c r="E2" s="5"/>
      <c r="F2" s="5"/>
      <c r="G2" s="5"/>
      <c r="H2" s="5"/>
      <c r="I2" s="5"/>
      <c r="J2" s="5"/>
      <c r="K2" s="5"/>
      <c r="L2" s="5"/>
      <c r="M2" s="5"/>
      <c r="N2" s="5"/>
      <c r="O2" s="5"/>
      <c r="P2" s="5"/>
      <c r="Q2" s="5"/>
      <c r="R2" s="5"/>
      <c r="S2" s="5"/>
      <c r="T2" s="5"/>
      <c r="U2" s="5"/>
    </row>
    <row r="3" spans="1:28" x14ac:dyDescent="0.25">
      <c r="A3" s="9" t="s">
        <v>176</v>
      </c>
      <c r="B3" s="5"/>
      <c r="C3" s="5"/>
      <c r="D3" s="5"/>
      <c r="E3" s="5"/>
      <c r="F3" s="5"/>
      <c r="G3" s="5"/>
      <c r="H3" s="5"/>
      <c r="I3" s="5"/>
      <c r="J3" s="5"/>
      <c r="K3" s="5"/>
      <c r="L3" s="5"/>
      <c r="M3" s="5"/>
      <c r="N3" s="5"/>
      <c r="O3" s="5"/>
      <c r="P3" s="5"/>
      <c r="Q3" s="5"/>
      <c r="R3" s="5"/>
      <c r="S3" s="5"/>
      <c r="T3" s="5"/>
      <c r="U3" s="5"/>
    </row>
    <row r="5" spans="1:28" ht="26.4" x14ac:dyDescent="0.25">
      <c r="A5" s="59" t="s">
        <v>0</v>
      </c>
      <c r="B5" s="1"/>
      <c r="Z5" s="22" t="s">
        <v>68</v>
      </c>
      <c r="AA5" s="22" t="s">
        <v>68</v>
      </c>
      <c r="AB5" t="s">
        <v>129</v>
      </c>
    </row>
    <row r="6" spans="1:28" x14ac:dyDescent="0.25">
      <c r="B6" s="3" t="s">
        <v>13</v>
      </c>
      <c r="C6" s="3" t="s">
        <v>1</v>
      </c>
      <c r="D6" s="3" t="s">
        <v>2</v>
      </c>
      <c r="E6" s="3" t="s">
        <v>3</v>
      </c>
      <c r="F6" s="3" t="s">
        <v>4</v>
      </c>
      <c r="G6" s="3" t="s">
        <v>11</v>
      </c>
      <c r="H6" s="3" t="s">
        <v>5</v>
      </c>
      <c r="I6" s="3" t="s">
        <v>14</v>
      </c>
      <c r="J6" s="3" t="s">
        <v>35</v>
      </c>
      <c r="K6" s="3" t="s">
        <v>36</v>
      </c>
      <c r="L6" s="3" t="s">
        <v>37</v>
      </c>
      <c r="M6" s="3" t="s">
        <v>108</v>
      </c>
      <c r="N6" s="3" t="s">
        <v>124</v>
      </c>
      <c r="O6" s="3" t="s">
        <v>125</v>
      </c>
      <c r="P6" s="3" t="s">
        <v>128</v>
      </c>
      <c r="Q6" s="3" t="s">
        <v>139</v>
      </c>
      <c r="R6" s="85" t="s">
        <v>141</v>
      </c>
      <c r="S6" s="85" t="s">
        <v>151</v>
      </c>
      <c r="T6" s="85" t="s">
        <v>156</v>
      </c>
      <c r="U6" s="85" t="s">
        <v>160</v>
      </c>
      <c r="V6" s="85" t="s">
        <v>167</v>
      </c>
      <c r="W6" s="85" t="s">
        <v>170</v>
      </c>
      <c r="X6" s="85" t="s">
        <v>174</v>
      </c>
      <c r="Y6" s="85" t="s">
        <v>175</v>
      </c>
      <c r="Z6" s="16" t="s">
        <v>69</v>
      </c>
      <c r="AA6" s="16" t="s">
        <v>70</v>
      </c>
      <c r="AB6" s="72" t="s">
        <v>130</v>
      </c>
    </row>
    <row r="7" spans="1:28" x14ac:dyDescent="0.25">
      <c r="A7" s="51" t="s">
        <v>6</v>
      </c>
      <c r="B7">
        <v>2145</v>
      </c>
      <c r="C7">
        <v>2103</v>
      </c>
      <c r="D7">
        <v>2076</v>
      </c>
      <c r="E7">
        <v>2187</v>
      </c>
      <c r="F7">
        <v>2073</v>
      </c>
      <c r="G7">
        <v>2052</v>
      </c>
      <c r="H7">
        <v>2100</v>
      </c>
      <c r="I7">
        <v>2221</v>
      </c>
      <c r="J7">
        <v>1941</v>
      </c>
      <c r="K7">
        <v>2134</v>
      </c>
      <c r="L7">
        <v>2406</v>
      </c>
      <c r="M7">
        <v>2414</v>
      </c>
      <c r="N7">
        <v>2398</v>
      </c>
      <c r="O7">
        <v>2494</v>
      </c>
      <c r="P7">
        <v>2576</v>
      </c>
      <c r="Q7">
        <v>2653</v>
      </c>
      <c r="R7">
        <v>2579</v>
      </c>
      <c r="S7" s="23">
        <v>2419</v>
      </c>
      <c r="T7" s="84">
        <v>2366</v>
      </c>
      <c r="U7" s="97">
        <v>2561</v>
      </c>
      <c r="V7" s="97">
        <v>2308</v>
      </c>
      <c r="W7" s="97">
        <v>2204</v>
      </c>
      <c r="X7" s="97">
        <v>2455</v>
      </c>
      <c r="Y7" s="97">
        <v>2683</v>
      </c>
      <c r="Z7" s="88">
        <f>SUM(U7:Y7)/5</f>
        <v>2442.1999999999998</v>
      </c>
      <c r="AA7" s="88">
        <f>SUM(W7:Y7)/3</f>
        <v>2447.3333333333335</v>
      </c>
      <c r="AB7" s="107"/>
    </row>
    <row r="8" spans="1:28" x14ac:dyDescent="0.25">
      <c r="A8" s="51" t="s">
        <v>7</v>
      </c>
      <c r="B8">
        <v>954</v>
      </c>
      <c r="C8">
        <v>912</v>
      </c>
      <c r="D8">
        <v>929</v>
      </c>
      <c r="E8">
        <v>961</v>
      </c>
      <c r="F8">
        <v>983</v>
      </c>
      <c r="G8">
        <v>959</v>
      </c>
      <c r="H8">
        <v>902</v>
      </c>
      <c r="I8">
        <v>886</v>
      </c>
      <c r="J8">
        <v>957</v>
      </c>
      <c r="K8">
        <v>886</v>
      </c>
      <c r="L8">
        <v>803</v>
      </c>
      <c r="M8">
        <v>867</v>
      </c>
      <c r="N8">
        <v>898</v>
      </c>
      <c r="O8">
        <v>947</v>
      </c>
      <c r="P8">
        <v>1010</v>
      </c>
      <c r="Q8">
        <v>1087</v>
      </c>
      <c r="R8">
        <v>1155</v>
      </c>
      <c r="S8" s="23">
        <v>1027</v>
      </c>
      <c r="T8" s="84">
        <v>885</v>
      </c>
      <c r="U8" s="97">
        <v>921</v>
      </c>
      <c r="V8" s="97">
        <v>876</v>
      </c>
      <c r="W8" s="97">
        <v>827</v>
      </c>
      <c r="X8" s="97">
        <v>788</v>
      </c>
      <c r="Y8" s="97">
        <v>788</v>
      </c>
      <c r="Z8" s="88">
        <f>SUM(U8:Y8)/5</f>
        <v>840</v>
      </c>
      <c r="AA8" s="88">
        <f>SUM(W8:Y8)/3</f>
        <v>801</v>
      </c>
      <c r="AB8" s="107"/>
    </row>
    <row r="9" spans="1:28" x14ac:dyDescent="0.25">
      <c r="A9" s="51" t="s">
        <v>8</v>
      </c>
      <c r="B9">
        <v>828</v>
      </c>
      <c r="C9">
        <v>876</v>
      </c>
      <c r="D9">
        <v>867</v>
      </c>
      <c r="E9">
        <v>828</v>
      </c>
      <c r="F9">
        <v>892</v>
      </c>
      <c r="G9">
        <v>871</v>
      </c>
      <c r="H9">
        <v>867</v>
      </c>
      <c r="I9">
        <v>840</v>
      </c>
      <c r="J9">
        <v>816</v>
      </c>
      <c r="K9">
        <v>863</v>
      </c>
      <c r="L9">
        <v>817</v>
      </c>
      <c r="M9">
        <v>758</v>
      </c>
      <c r="N9">
        <v>807</v>
      </c>
      <c r="O9">
        <v>779</v>
      </c>
      <c r="P9">
        <v>878</v>
      </c>
      <c r="Q9">
        <v>953</v>
      </c>
      <c r="R9">
        <v>993</v>
      </c>
      <c r="S9" s="23">
        <v>1039</v>
      </c>
      <c r="T9" s="84">
        <v>929</v>
      </c>
      <c r="U9" s="97">
        <v>854</v>
      </c>
      <c r="V9" s="97">
        <v>828</v>
      </c>
      <c r="W9" s="97">
        <v>880</v>
      </c>
      <c r="X9" s="97">
        <v>847</v>
      </c>
      <c r="Y9" s="97">
        <v>815</v>
      </c>
      <c r="Z9" s="88">
        <f>SUM(U9:Y9)/5</f>
        <v>844.8</v>
      </c>
      <c r="AA9" s="88">
        <f>SUM(W9:Y9)/3</f>
        <v>847.33333333333337</v>
      </c>
      <c r="AB9" s="107"/>
    </row>
    <row r="10" spans="1:28" x14ac:dyDescent="0.25">
      <c r="A10" s="51" t="s">
        <v>9</v>
      </c>
      <c r="B10">
        <v>1240</v>
      </c>
      <c r="C10">
        <v>1218</v>
      </c>
      <c r="D10">
        <v>1285</v>
      </c>
      <c r="E10">
        <v>1254</v>
      </c>
      <c r="F10">
        <v>1252</v>
      </c>
      <c r="G10">
        <v>1236</v>
      </c>
      <c r="H10">
        <v>1272</v>
      </c>
      <c r="I10">
        <v>1285</v>
      </c>
      <c r="J10">
        <v>1248</v>
      </c>
      <c r="K10">
        <v>1222</v>
      </c>
      <c r="L10">
        <v>1245</v>
      </c>
      <c r="M10">
        <v>1256</v>
      </c>
      <c r="N10">
        <v>1216</v>
      </c>
      <c r="O10">
        <v>1250</v>
      </c>
      <c r="P10">
        <v>1201</v>
      </c>
      <c r="Q10">
        <v>1317</v>
      </c>
      <c r="R10">
        <v>1408</v>
      </c>
      <c r="S10" s="23">
        <v>1418</v>
      </c>
      <c r="T10" s="84">
        <v>1464</v>
      </c>
      <c r="U10" s="97">
        <v>1406</v>
      </c>
      <c r="V10" s="97">
        <v>1340</v>
      </c>
      <c r="W10" s="97">
        <v>1234</v>
      </c>
      <c r="X10" s="97">
        <v>1231</v>
      </c>
      <c r="Y10" s="97">
        <v>1179</v>
      </c>
      <c r="Z10" s="88">
        <f>SUM(U10:Y10)/5</f>
        <v>1278</v>
      </c>
      <c r="AA10" s="88">
        <f>SUM(W10:Y10)/3</f>
        <v>1214.6666666666667</v>
      </c>
      <c r="AB10" s="107"/>
    </row>
    <row r="11" spans="1:28" x14ac:dyDescent="0.25">
      <c r="A11" s="60" t="s">
        <v>10</v>
      </c>
      <c r="B11" s="6">
        <f t="shared" ref="B11:I11" si="0">SUM(B7:B10)</f>
        <v>5167</v>
      </c>
      <c r="C11" s="6">
        <f t="shared" si="0"/>
        <v>5109</v>
      </c>
      <c r="D11" s="6">
        <f t="shared" si="0"/>
        <v>5157</v>
      </c>
      <c r="E11" s="6">
        <f t="shared" si="0"/>
        <v>5230</v>
      </c>
      <c r="F11" s="6">
        <f t="shared" si="0"/>
        <v>5200</v>
      </c>
      <c r="G11" s="6">
        <f t="shared" si="0"/>
        <v>5118</v>
      </c>
      <c r="H11" s="6">
        <f t="shared" si="0"/>
        <v>5141</v>
      </c>
      <c r="I11" s="6">
        <f t="shared" si="0"/>
        <v>5232</v>
      </c>
      <c r="J11" s="6">
        <v>4962</v>
      </c>
      <c r="K11" s="6">
        <f t="shared" ref="K11:AA11" si="1">SUM(K7:K10)</f>
        <v>5105</v>
      </c>
      <c r="L11" s="6">
        <f t="shared" si="1"/>
        <v>5271</v>
      </c>
      <c r="M11" s="6">
        <f t="shared" si="1"/>
        <v>5295</v>
      </c>
      <c r="N11" s="6">
        <f t="shared" si="1"/>
        <v>5319</v>
      </c>
      <c r="O11" s="6">
        <f t="shared" si="1"/>
        <v>5470</v>
      </c>
      <c r="P11" s="6">
        <f t="shared" si="1"/>
        <v>5665</v>
      </c>
      <c r="Q11" s="6">
        <f t="shared" ref="Q11" si="2">SUM(Q7:Q10)</f>
        <v>6010</v>
      </c>
      <c r="R11" s="6">
        <f t="shared" si="1"/>
        <v>6135</v>
      </c>
      <c r="S11" s="6">
        <f t="shared" si="1"/>
        <v>5903</v>
      </c>
      <c r="T11" s="6">
        <f t="shared" si="1"/>
        <v>5644</v>
      </c>
      <c r="U11" s="6">
        <f t="shared" ref="U11" si="3">SUM(U7:U10)</f>
        <v>5742</v>
      </c>
      <c r="V11" s="6">
        <f t="shared" si="1"/>
        <v>5352</v>
      </c>
      <c r="W11" s="6">
        <f t="shared" si="1"/>
        <v>5145</v>
      </c>
      <c r="X11" s="6">
        <f t="shared" si="1"/>
        <v>5321</v>
      </c>
      <c r="Y11" s="6">
        <f t="shared" si="1"/>
        <v>5465</v>
      </c>
      <c r="Z11" s="107">
        <f t="shared" si="1"/>
        <v>5405</v>
      </c>
      <c r="AA11" s="99">
        <f t="shared" si="1"/>
        <v>5310.3333333333339</v>
      </c>
      <c r="AB11" s="104">
        <f>(Y11/U11)-1</f>
        <v>-4.8241030999651713E-2</v>
      </c>
    </row>
    <row r="12" spans="1:28" x14ac:dyDescent="0.25">
      <c r="Z12" s="107"/>
      <c r="AA12" s="107"/>
      <c r="AB12" s="107"/>
    </row>
    <row r="13" spans="1:28" x14ac:dyDescent="0.25">
      <c r="Z13" s="107"/>
      <c r="AA13" s="107"/>
      <c r="AB13" s="107"/>
    </row>
    <row r="14" spans="1:28" x14ac:dyDescent="0.25">
      <c r="A14" s="59" t="s">
        <v>15</v>
      </c>
      <c r="Z14" s="107"/>
      <c r="AA14" s="107"/>
      <c r="AB14" s="107"/>
    </row>
    <row r="15" spans="1:28" x14ac:dyDescent="0.25">
      <c r="A15" s="61" t="s">
        <v>16</v>
      </c>
      <c r="B15" s="7"/>
      <c r="Z15" s="107"/>
      <c r="AA15" s="107"/>
      <c r="AB15" s="107"/>
    </row>
    <row r="16" spans="1:28" x14ac:dyDescent="0.25">
      <c r="A16" s="51" t="s">
        <v>17</v>
      </c>
      <c r="B16">
        <v>2277</v>
      </c>
      <c r="C16">
        <v>2210</v>
      </c>
      <c r="D16">
        <v>2085</v>
      </c>
      <c r="E16">
        <v>2131</v>
      </c>
      <c r="F16">
        <v>2023</v>
      </c>
      <c r="G16">
        <v>1966</v>
      </c>
      <c r="H16">
        <v>1963</v>
      </c>
      <c r="I16">
        <v>1965</v>
      </c>
      <c r="J16">
        <v>1886</v>
      </c>
      <c r="K16">
        <v>1957</v>
      </c>
      <c r="L16">
        <v>2057</v>
      </c>
      <c r="M16">
        <v>2162</v>
      </c>
      <c r="N16">
        <v>2164</v>
      </c>
      <c r="O16">
        <v>2278</v>
      </c>
      <c r="P16">
        <v>2361</v>
      </c>
      <c r="Q16">
        <v>2390</v>
      </c>
      <c r="R16">
        <v>2420</v>
      </c>
      <c r="S16">
        <v>2236</v>
      </c>
      <c r="T16">
        <v>2176</v>
      </c>
      <c r="U16">
        <v>2142</v>
      </c>
      <c r="V16">
        <v>1982</v>
      </c>
      <c r="W16">
        <v>1809</v>
      </c>
      <c r="X16">
        <v>1837</v>
      </c>
      <c r="Y16">
        <v>1805</v>
      </c>
      <c r="Z16" s="88">
        <f>SUM(U16:Y16)/5</f>
        <v>1915</v>
      </c>
      <c r="AA16" s="88">
        <f>SUM(W16:Y16)/3</f>
        <v>1817</v>
      </c>
      <c r="AB16" s="104">
        <f t="shared" ref="AB16:AB21" si="4">(Y16/U16)-1</f>
        <v>-0.15732959850606909</v>
      </c>
    </row>
    <row r="17" spans="1:28" x14ac:dyDescent="0.25">
      <c r="A17" s="51" t="s">
        <v>18</v>
      </c>
      <c r="B17">
        <v>311</v>
      </c>
      <c r="C17">
        <v>306</v>
      </c>
      <c r="D17">
        <v>356</v>
      </c>
      <c r="E17">
        <v>359</v>
      </c>
      <c r="F17">
        <v>338</v>
      </c>
      <c r="G17">
        <v>340</v>
      </c>
      <c r="H17">
        <v>302</v>
      </c>
      <c r="I17">
        <v>326</v>
      </c>
      <c r="J17">
        <v>333</v>
      </c>
      <c r="K17">
        <v>338</v>
      </c>
      <c r="L17">
        <v>372</v>
      </c>
      <c r="M17">
        <v>384</v>
      </c>
      <c r="N17">
        <v>372</v>
      </c>
      <c r="O17">
        <v>396</v>
      </c>
      <c r="P17">
        <v>399</v>
      </c>
      <c r="Q17">
        <v>448</v>
      </c>
      <c r="R17">
        <v>430</v>
      </c>
      <c r="S17">
        <v>407</v>
      </c>
      <c r="T17">
        <v>418</v>
      </c>
      <c r="U17">
        <v>409</v>
      </c>
      <c r="V17">
        <v>358</v>
      </c>
      <c r="W17">
        <v>327</v>
      </c>
      <c r="X17">
        <v>297</v>
      </c>
      <c r="Y17">
        <v>294</v>
      </c>
      <c r="Z17" s="88">
        <f>SUM(U17:Y17)/5</f>
        <v>337</v>
      </c>
      <c r="AA17" s="88">
        <f>SUM(W17:Y17)/3</f>
        <v>306</v>
      </c>
      <c r="AB17" s="104">
        <f t="shared" si="4"/>
        <v>-0.28117359413202936</v>
      </c>
    </row>
    <row r="18" spans="1:28" x14ac:dyDescent="0.25">
      <c r="A18" s="51" t="s">
        <v>19</v>
      </c>
      <c r="B18">
        <v>211</v>
      </c>
      <c r="C18">
        <v>227</v>
      </c>
      <c r="D18">
        <v>236</v>
      </c>
      <c r="E18">
        <v>217</v>
      </c>
      <c r="F18">
        <v>207</v>
      </c>
      <c r="G18">
        <v>218</v>
      </c>
      <c r="H18">
        <v>229</v>
      </c>
      <c r="I18">
        <v>226</v>
      </c>
      <c r="J18">
        <v>225</v>
      </c>
      <c r="K18">
        <v>233</v>
      </c>
      <c r="L18">
        <v>233</v>
      </c>
      <c r="M18">
        <v>195</v>
      </c>
      <c r="N18">
        <v>264</v>
      </c>
      <c r="O18">
        <v>289</v>
      </c>
      <c r="P18">
        <v>285</v>
      </c>
      <c r="Q18">
        <v>349</v>
      </c>
      <c r="R18">
        <v>396</v>
      </c>
      <c r="S18">
        <v>427</v>
      </c>
      <c r="T18">
        <v>402</v>
      </c>
      <c r="U18">
        <v>405</v>
      </c>
      <c r="V18">
        <v>441</v>
      </c>
      <c r="W18">
        <v>426</v>
      </c>
      <c r="X18">
        <v>374</v>
      </c>
      <c r="Y18">
        <v>433</v>
      </c>
      <c r="Z18" s="88">
        <f>SUM(U18:Y18)/5</f>
        <v>415.8</v>
      </c>
      <c r="AA18" s="88">
        <f>SUM(W18:Y18)/3</f>
        <v>411</v>
      </c>
      <c r="AB18" s="104">
        <f t="shared" si="4"/>
        <v>6.9135802469135754E-2</v>
      </c>
    </row>
    <row r="19" spans="1:28" x14ac:dyDescent="0.25">
      <c r="A19" s="51" t="s">
        <v>20</v>
      </c>
      <c r="B19">
        <v>207</v>
      </c>
      <c r="C19">
        <v>205</v>
      </c>
      <c r="D19">
        <v>238</v>
      </c>
      <c r="E19">
        <v>218</v>
      </c>
      <c r="F19">
        <v>222</v>
      </c>
      <c r="G19">
        <v>187</v>
      </c>
      <c r="H19">
        <v>181</v>
      </c>
      <c r="I19">
        <v>181</v>
      </c>
      <c r="J19">
        <v>186</v>
      </c>
      <c r="K19">
        <v>214</v>
      </c>
      <c r="L19">
        <v>218</v>
      </c>
      <c r="M19">
        <v>235</v>
      </c>
      <c r="N19">
        <v>230</v>
      </c>
      <c r="O19">
        <v>249</v>
      </c>
      <c r="P19">
        <v>243</v>
      </c>
      <c r="Q19">
        <v>252</v>
      </c>
      <c r="R19">
        <v>245</v>
      </c>
      <c r="S19">
        <v>233</v>
      </c>
      <c r="T19">
        <v>255</v>
      </c>
      <c r="U19">
        <v>290</v>
      </c>
      <c r="V19">
        <v>291</v>
      </c>
      <c r="W19">
        <v>288</v>
      </c>
      <c r="X19">
        <v>281</v>
      </c>
      <c r="Y19">
        <v>255</v>
      </c>
      <c r="Z19" s="88">
        <f>SUM(U19:Y19)/5</f>
        <v>281</v>
      </c>
      <c r="AA19" s="88">
        <f>SUM(W19:Y19)/3</f>
        <v>274.66666666666669</v>
      </c>
      <c r="AB19" s="104">
        <f t="shared" si="4"/>
        <v>-0.12068965517241381</v>
      </c>
    </row>
    <row r="20" spans="1:28" x14ac:dyDescent="0.25">
      <c r="A20" s="51" t="s">
        <v>21</v>
      </c>
      <c r="B20">
        <v>236</v>
      </c>
      <c r="C20">
        <v>232</v>
      </c>
      <c r="D20">
        <v>216</v>
      </c>
      <c r="E20">
        <v>222</v>
      </c>
      <c r="F20">
        <v>216</v>
      </c>
      <c r="G20">
        <v>216</v>
      </c>
      <c r="H20">
        <v>231</v>
      </c>
      <c r="I20">
        <v>202</v>
      </c>
      <c r="J20">
        <v>231</v>
      </c>
      <c r="K20">
        <v>217</v>
      </c>
      <c r="L20">
        <v>235</v>
      </c>
      <c r="M20">
        <v>241</v>
      </c>
      <c r="N20">
        <v>224</v>
      </c>
      <c r="O20">
        <v>242</v>
      </c>
      <c r="P20">
        <v>277</v>
      </c>
      <c r="Q20">
        <v>347</v>
      </c>
      <c r="R20">
        <v>380</v>
      </c>
      <c r="S20">
        <v>416</v>
      </c>
      <c r="T20">
        <v>353</v>
      </c>
      <c r="U20">
        <v>341</v>
      </c>
      <c r="V20">
        <v>311</v>
      </c>
      <c r="W20">
        <v>326</v>
      </c>
      <c r="X20">
        <v>296</v>
      </c>
      <c r="Y20">
        <v>316</v>
      </c>
      <c r="Z20" s="88">
        <f>SUM(U20:Y20)/5</f>
        <v>318</v>
      </c>
      <c r="AA20" s="88">
        <f>SUM(W20:Y20)/3</f>
        <v>312.66666666666669</v>
      </c>
      <c r="AB20" s="104">
        <f t="shared" si="4"/>
        <v>-7.3313782991202392E-2</v>
      </c>
    </row>
    <row r="21" spans="1:28" x14ac:dyDescent="0.25">
      <c r="A21" s="62" t="s">
        <v>22</v>
      </c>
      <c r="B21">
        <f t="shared" ref="B21:I21" si="5">SUM(B16:B20)</f>
        <v>3242</v>
      </c>
      <c r="C21">
        <f t="shared" si="5"/>
        <v>3180</v>
      </c>
      <c r="D21">
        <f t="shared" si="5"/>
        <v>3131</v>
      </c>
      <c r="E21">
        <f t="shared" si="5"/>
        <v>3147</v>
      </c>
      <c r="F21">
        <f t="shared" si="5"/>
        <v>3006</v>
      </c>
      <c r="G21">
        <f t="shared" si="5"/>
        <v>2927</v>
      </c>
      <c r="H21">
        <f t="shared" si="5"/>
        <v>2906</v>
      </c>
      <c r="I21">
        <f t="shared" si="5"/>
        <v>2900</v>
      </c>
      <c r="J21">
        <v>2861</v>
      </c>
      <c r="K21">
        <f t="shared" ref="K21:P21" si="6">SUM(K16:K20)</f>
        <v>2959</v>
      </c>
      <c r="L21">
        <f t="shared" si="6"/>
        <v>3115</v>
      </c>
      <c r="M21">
        <f t="shared" si="6"/>
        <v>3217</v>
      </c>
      <c r="N21">
        <f t="shared" si="6"/>
        <v>3254</v>
      </c>
      <c r="O21">
        <f t="shared" si="6"/>
        <v>3454</v>
      </c>
      <c r="P21">
        <f t="shared" si="6"/>
        <v>3565</v>
      </c>
      <c r="Q21">
        <f t="shared" ref="Q21:AA21" si="7">SUM(Q16:Q20)</f>
        <v>3786</v>
      </c>
      <c r="R21">
        <f t="shared" si="7"/>
        <v>3871</v>
      </c>
      <c r="S21">
        <f t="shared" si="7"/>
        <v>3719</v>
      </c>
      <c r="T21">
        <f t="shared" si="7"/>
        <v>3604</v>
      </c>
      <c r="U21">
        <f t="shared" ref="U21" si="8">SUM(U16:U20)</f>
        <v>3587</v>
      </c>
      <c r="V21">
        <f t="shared" si="7"/>
        <v>3383</v>
      </c>
      <c r="W21">
        <f t="shared" si="7"/>
        <v>3176</v>
      </c>
      <c r="X21">
        <f t="shared" si="7"/>
        <v>3085</v>
      </c>
      <c r="Y21">
        <f t="shared" si="7"/>
        <v>3103</v>
      </c>
      <c r="Z21" s="107">
        <f t="shared" si="7"/>
        <v>3266.8</v>
      </c>
      <c r="AA21" s="107">
        <f t="shared" si="7"/>
        <v>3121.333333333333</v>
      </c>
      <c r="AB21" s="104">
        <f t="shared" si="4"/>
        <v>-0.1349316977976025</v>
      </c>
    </row>
    <row r="22" spans="1:28" x14ac:dyDescent="0.25">
      <c r="Z22" s="107"/>
      <c r="AA22" s="107"/>
      <c r="AB22" s="107"/>
    </row>
    <row r="23" spans="1:28" x14ac:dyDescent="0.25">
      <c r="A23" s="61" t="s">
        <v>23</v>
      </c>
      <c r="Z23" s="107"/>
      <c r="AA23" s="107"/>
      <c r="AB23" s="107"/>
    </row>
    <row r="24" spans="1:28" x14ac:dyDescent="0.25">
      <c r="A24" s="51" t="s">
        <v>24</v>
      </c>
      <c r="B24">
        <v>78</v>
      </c>
      <c r="C24">
        <v>62</v>
      </c>
      <c r="D24">
        <v>73</v>
      </c>
      <c r="E24">
        <v>70</v>
      </c>
      <c r="F24">
        <v>63</v>
      </c>
      <c r="G24">
        <v>60</v>
      </c>
      <c r="H24">
        <v>63</v>
      </c>
      <c r="I24">
        <v>73</v>
      </c>
      <c r="J24">
        <v>71</v>
      </c>
      <c r="K24">
        <v>103</v>
      </c>
      <c r="L24">
        <v>106</v>
      </c>
      <c r="M24">
        <v>97</v>
      </c>
      <c r="N24">
        <v>87</v>
      </c>
      <c r="O24">
        <v>74</v>
      </c>
      <c r="P24">
        <v>68</v>
      </c>
      <c r="Q24">
        <v>79</v>
      </c>
      <c r="R24">
        <v>68</v>
      </c>
      <c r="S24">
        <v>65</v>
      </c>
      <c r="T24">
        <v>61</v>
      </c>
      <c r="U24">
        <v>55</v>
      </c>
      <c r="V24">
        <v>53</v>
      </c>
      <c r="W24">
        <v>56</v>
      </c>
      <c r="X24">
        <v>68</v>
      </c>
      <c r="Y24">
        <v>58</v>
      </c>
      <c r="Z24" s="88">
        <f t="shared" ref="Z24:Z28" si="9">SUM(U24:Y24)/5</f>
        <v>58</v>
      </c>
      <c r="AA24" s="88">
        <f t="shared" ref="AA24:AA28" si="10">SUM(W24:Y24)/3</f>
        <v>60.666666666666664</v>
      </c>
      <c r="AB24" s="104">
        <f t="shared" ref="AB24:AB31" si="11">(Y24/U24)-1</f>
        <v>5.4545454545454453E-2</v>
      </c>
    </row>
    <row r="25" spans="1:28" x14ac:dyDescent="0.25">
      <c r="A25" s="51" t="s">
        <v>25</v>
      </c>
      <c r="B25">
        <v>43</v>
      </c>
      <c r="C25">
        <v>40</v>
      </c>
      <c r="D25">
        <v>44</v>
      </c>
      <c r="E25">
        <v>39</v>
      </c>
      <c r="F25">
        <v>48</v>
      </c>
      <c r="G25">
        <v>50</v>
      </c>
      <c r="H25">
        <v>61</v>
      </c>
      <c r="I25">
        <v>70</v>
      </c>
      <c r="J25">
        <v>57</v>
      </c>
      <c r="K25">
        <v>59</v>
      </c>
      <c r="L25">
        <v>54</v>
      </c>
      <c r="M25">
        <v>48</v>
      </c>
      <c r="N25">
        <v>53</v>
      </c>
      <c r="O25">
        <v>50</v>
      </c>
      <c r="P25">
        <v>38</v>
      </c>
      <c r="Q25">
        <v>43</v>
      </c>
      <c r="R25">
        <v>67</v>
      </c>
      <c r="S25">
        <v>53</v>
      </c>
      <c r="T25">
        <v>47</v>
      </c>
      <c r="U25">
        <v>39</v>
      </c>
      <c r="V25">
        <v>36</v>
      </c>
      <c r="W25">
        <v>35</v>
      </c>
      <c r="X25">
        <v>37</v>
      </c>
      <c r="Y25">
        <v>35</v>
      </c>
      <c r="Z25" s="88">
        <f t="shared" si="9"/>
        <v>36.4</v>
      </c>
      <c r="AA25" s="88">
        <f t="shared" si="10"/>
        <v>35.666666666666664</v>
      </c>
      <c r="AB25" s="104">
        <f t="shared" si="11"/>
        <v>-0.10256410256410253</v>
      </c>
    </row>
    <row r="26" spans="1:28" x14ac:dyDescent="0.25">
      <c r="A26" s="51" t="s">
        <v>26</v>
      </c>
      <c r="B26">
        <v>173</v>
      </c>
      <c r="C26">
        <v>171</v>
      </c>
      <c r="D26">
        <v>158</v>
      </c>
      <c r="E26">
        <v>156</v>
      </c>
      <c r="F26">
        <v>145</v>
      </c>
      <c r="G26">
        <v>152</v>
      </c>
      <c r="H26">
        <v>152</v>
      </c>
      <c r="I26">
        <v>165</v>
      </c>
      <c r="J26">
        <v>149</v>
      </c>
      <c r="K26">
        <v>164</v>
      </c>
      <c r="L26">
        <v>169</v>
      </c>
      <c r="M26">
        <v>171</v>
      </c>
      <c r="N26">
        <v>174</v>
      </c>
      <c r="O26">
        <v>184</v>
      </c>
      <c r="P26">
        <v>195</v>
      </c>
      <c r="Q26">
        <v>203</v>
      </c>
      <c r="R26">
        <v>203</v>
      </c>
      <c r="S26">
        <v>186</v>
      </c>
      <c r="T26">
        <v>162</v>
      </c>
      <c r="U26">
        <v>154</v>
      </c>
      <c r="V26">
        <v>132</v>
      </c>
      <c r="W26">
        <v>142</v>
      </c>
      <c r="X26">
        <v>132</v>
      </c>
      <c r="Y26">
        <v>121</v>
      </c>
      <c r="Z26" s="88">
        <f t="shared" si="9"/>
        <v>136.19999999999999</v>
      </c>
      <c r="AA26" s="88">
        <f t="shared" si="10"/>
        <v>131.66666666666666</v>
      </c>
      <c r="AB26" s="104">
        <f t="shared" si="11"/>
        <v>-0.2142857142857143</v>
      </c>
    </row>
    <row r="27" spans="1:28" x14ac:dyDescent="0.25">
      <c r="A27" s="51" t="s">
        <v>27</v>
      </c>
      <c r="B27">
        <v>295</v>
      </c>
      <c r="C27">
        <v>288</v>
      </c>
      <c r="D27">
        <v>312</v>
      </c>
      <c r="E27">
        <v>302</v>
      </c>
      <c r="F27">
        <v>404</v>
      </c>
      <c r="G27">
        <v>388</v>
      </c>
      <c r="H27">
        <v>345</v>
      </c>
      <c r="I27">
        <v>369</v>
      </c>
      <c r="J27">
        <v>337</v>
      </c>
      <c r="K27">
        <v>315</v>
      </c>
      <c r="L27">
        <v>330</v>
      </c>
      <c r="M27">
        <v>260</v>
      </c>
      <c r="N27">
        <v>304</v>
      </c>
      <c r="O27">
        <v>286</v>
      </c>
      <c r="P27">
        <v>301</v>
      </c>
      <c r="Q27">
        <v>317</v>
      </c>
      <c r="R27">
        <v>321</v>
      </c>
      <c r="S27">
        <v>307</v>
      </c>
      <c r="T27">
        <v>293</v>
      </c>
      <c r="U27">
        <v>310</v>
      </c>
      <c r="V27">
        <v>256</v>
      </c>
      <c r="W27">
        <v>240</v>
      </c>
      <c r="X27">
        <v>391</v>
      </c>
      <c r="Y27">
        <v>497</v>
      </c>
      <c r="Z27" s="88">
        <f t="shared" si="9"/>
        <v>338.8</v>
      </c>
      <c r="AA27" s="88">
        <f t="shared" si="10"/>
        <v>376</v>
      </c>
      <c r="AB27" s="104">
        <f t="shared" si="11"/>
        <v>0.60322580645161294</v>
      </c>
    </row>
    <row r="28" spans="1:28" x14ac:dyDescent="0.25">
      <c r="A28" s="51" t="s">
        <v>28</v>
      </c>
      <c r="B28">
        <v>47</v>
      </c>
      <c r="C28">
        <v>47</v>
      </c>
      <c r="D28">
        <v>41</v>
      </c>
      <c r="E28">
        <v>33</v>
      </c>
      <c r="F28">
        <v>34</v>
      </c>
      <c r="G28">
        <v>35</v>
      </c>
      <c r="H28">
        <v>49</v>
      </c>
      <c r="I28">
        <v>48</v>
      </c>
      <c r="J28">
        <v>45</v>
      </c>
      <c r="K28">
        <v>63</v>
      </c>
      <c r="L28">
        <v>57</v>
      </c>
      <c r="M28">
        <v>86</v>
      </c>
      <c r="N28">
        <v>72</v>
      </c>
      <c r="O28">
        <v>55</v>
      </c>
      <c r="P28">
        <v>68</v>
      </c>
      <c r="Q28">
        <v>78</v>
      </c>
      <c r="R28">
        <v>73</v>
      </c>
      <c r="S28">
        <v>75</v>
      </c>
      <c r="T28">
        <v>103</v>
      </c>
      <c r="U28">
        <v>70</v>
      </c>
      <c r="V28">
        <v>68</v>
      </c>
      <c r="W28">
        <v>89</v>
      </c>
      <c r="X28">
        <v>65</v>
      </c>
      <c r="Y28">
        <v>92</v>
      </c>
      <c r="Z28" s="88">
        <f t="shared" si="9"/>
        <v>76.8</v>
      </c>
      <c r="AA28" s="88">
        <f t="shared" si="10"/>
        <v>82</v>
      </c>
      <c r="AB28" s="104">
        <f t="shared" si="11"/>
        <v>0.31428571428571428</v>
      </c>
    </row>
    <row r="29" spans="1:28" x14ac:dyDescent="0.25">
      <c r="A29" s="62" t="s">
        <v>34</v>
      </c>
      <c r="B29">
        <f t="shared" ref="B29:I29" si="12">SUM(B24:B28)</f>
        <v>636</v>
      </c>
      <c r="C29">
        <f t="shared" si="12"/>
        <v>608</v>
      </c>
      <c r="D29">
        <f t="shared" si="12"/>
        <v>628</v>
      </c>
      <c r="E29">
        <f t="shared" si="12"/>
        <v>600</v>
      </c>
      <c r="F29">
        <f t="shared" si="12"/>
        <v>694</v>
      </c>
      <c r="G29">
        <f t="shared" si="12"/>
        <v>685</v>
      </c>
      <c r="H29">
        <f t="shared" si="12"/>
        <v>670</v>
      </c>
      <c r="I29">
        <f t="shared" si="12"/>
        <v>725</v>
      </c>
      <c r="J29">
        <v>659</v>
      </c>
      <c r="K29">
        <f t="shared" ref="K29:P29" si="13">SUM(K24:K28)</f>
        <v>704</v>
      </c>
      <c r="L29">
        <f t="shared" si="13"/>
        <v>716</v>
      </c>
      <c r="M29">
        <f t="shared" si="13"/>
        <v>662</v>
      </c>
      <c r="N29">
        <f t="shared" si="13"/>
        <v>690</v>
      </c>
      <c r="O29">
        <f t="shared" si="13"/>
        <v>649</v>
      </c>
      <c r="P29">
        <f t="shared" si="13"/>
        <v>670</v>
      </c>
      <c r="Q29">
        <f t="shared" ref="Q29:AA29" si="14">SUM(Q24:Q28)</f>
        <v>720</v>
      </c>
      <c r="R29">
        <f t="shared" si="14"/>
        <v>732</v>
      </c>
      <c r="S29">
        <f t="shared" si="14"/>
        <v>686</v>
      </c>
      <c r="T29">
        <f t="shared" si="14"/>
        <v>666</v>
      </c>
      <c r="U29">
        <f t="shared" ref="U29" si="15">SUM(U24:U28)</f>
        <v>628</v>
      </c>
      <c r="V29">
        <f t="shared" si="14"/>
        <v>545</v>
      </c>
      <c r="W29">
        <f t="shared" si="14"/>
        <v>562</v>
      </c>
      <c r="X29">
        <f t="shared" si="14"/>
        <v>693</v>
      </c>
      <c r="Y29">
        <f t="shared" si="14"/>
        <v>803</v>
      </c>
      <c r="Z29" s="88">
        <f t="shared" si="14"/>
        <v>646.19999999999993</v>
      </c>
      <c r="AA29" s="88">
        <f t="shared" si="14"/>
        <v>686</v>
      </c>
      <c r="AB29" s="104">
        <f t="shared" si="11"/>
        <v>0.27866242038216571</v>
      </c>
    </row>
    <row r="30" spans="1:28" x14ac:dyDescent="0.25">
      <c r="Z30" s="107"/>
      <c r="AA30" s="107"/>
      <c r="AB30" s="107"/>
    </row>
    <row r="31" spans="1:28" x14ac:dyDescent="0.25">
      <c r="A31" s="60" t="s">
        <v>29</v>
      </c>
      <c r="B31" s="6">
        <f t="shared" ref="B31:M31" si="16">B21+B29</f>
        <v>3878</v>
      </c>
      <c r="C31" s="6">
        <f t="shared" si="16"/>
        <v>3788</v>
      </c>
      <c r="D31" s="6">
        <f t="shared" si="16"/>
        <v>3759</v>
      </c>
      <c r="E31" s="6">
        <f t="shared" si="16"/>
        <v>3747</v>
      </c>
      <c r="F31" s="6">
        <f t="shared" si="16"/>
        <v>3700</v>
      </c>
      <c r="G31" s="6">
        <f t="shared" si="16"/>
        <v>3612</v>
      </c>
      <c r="H31" s="6">
        <f t="shared" si="16"/>
        <v>3576</v>
      </c>
      <c r="I31" s="6">
        <f t="shared" si="16"/>
        <v>3625</v>
      </c>
      <c r="J31" s="6">
        <f t="shared" si="16"/>
        <v>3520</v>
      </c>
      <c r="K31" s="6">
        <f t="shared" si="16"/>
        <v>3663</v>
      </c>
      <c r="L31" s="6">
        <f t="shared" si="16"/>
        <v>3831</v>
      </c>
      <c r="M31" s="6">
        <f t="shared" si="16"/>
        <v>3879</v>
      </c>
      <c r="N31" s="6">
        <f t="shared" ref="N31:T31" si="17">N21+N29</f>
        <v>3944</v>
      </c>
      <c r="O31" s="6">
        <f t="shared" si="17"/>
        <v>4103</v>
      </c>
      <c r="P31" s="6">
        <f t="shared" si="17"/>
        <v>4235</v>
      </c>
      <c r="Q31" s="6">
        <f t="shared" si="17"/>
        <v>4506</v>
      </c>
      <c r="R31" s="6">
        <f t="shared" si="17"/>
        <v>4603</v>
      </c>
      <c r="S31" s="6">
        <f t="shared" si="17"/>
        <v>4405</v>
      </c>
      <c r="T31" s="6">
        <f t="shared" si="17"/>
        <v>4270</v>
      </c>
      <c r="U31" s="6">
        <f t="shared" ref="U31:AA31" si="18">U21+U29</f>
        <v>4215</v>
      </c>
      <c r="V31" s="6">
        <f t="shared" si="18"/>
        <v>3928</v>
      </c>
      <c r="W31" s="6">
        <f t="shared" si="18"/>
        <v>3738</v>
      </c>
      <c r="X31" s="6">
        <f t="shared" si="18"/>
        <v>3778</v>
      </c>
      <c r="Y31" s="6">
        <f t="shared" si="18"/>
        <v>3906</v>
      </c>
      <c r="Z31" s="107">
        <f t="shared" si="18"/>
        <v>3913</v>
      </c>
      <c r="AA31" s="88">
        <f t="shared" si="18"/>
        <v>3807.333333333333</v>
      </c>
      <c r="AB31" s="104">
        <f t="shared" si="11"/>
        <v>-7.3309608540925275E-2</v>
      </c>
    </row>
    <row r="32" spans="1:28" x14ac:dyDescent="0.25">
      <c r="A32" s="51" t="s">
        <v>30</v>
      </c>
      <c r="Z32" s="107"/>
      <c r="AA32" s="107"/>
      <c r="AB32" s="107"/>
    </row>
    <row r="33" spans="1:28" x14ac:dyDescent="0.25">
      <c r="A33" s="51" t="s">
        <v>31</v>
      </c>
      <c r="B33" s="2">
        <f t="shared" ref="B33:Y33" si="19">B31/B11</f>
        <v>0.7505322237275015</v>
      </c>
      <c r="C33" s="2">
        <f t="shared" si="19"/>
        <v>0.74143668036797805</v>
      </c>
      <c r="D33" s="2">
        <f t="shared" si="19"/>
        <v>0.72891215823152999</v>
      </c>
      <c r="E33" s="2">
        <f t="shared" si="19"/>
        <v>0.7164435946462715</v>
      </c>
      <c r="F33" s="2">
        <f t="shared" si="19"/>
        <v>0.71153846153846156</v>
      </c>
      <c r="G33" s="2">
        <f t="shared" si="19"/>
        <v>0.70574443141852283</v>
      </c>
      <c r="H33" s="2">
        <f t="shared" si="19"/>
        <v>0.69558451663100562</v>
      </c>
      <c r="I33" s="2">
        <f t="shared" si="19"/>
        <v>0.69285168195718649</v>
      </c>
      <c r="J33" s="2">
        <f t="shared" si="19"/>
        <v>0.70939137444578804</v>
      </c>
      <c r="K33" s="2">
        <f t="shared" si="19"/>
        <v>0.71753183153770816</v>
      </c>
      <c r="L33" s="2">
        <f t="shared" si="19"/>
        <v>0.72680705748434837</v>
      </c>
      <c r="M33" s="2">
        <f t="shared" si="19"/>
        <v>0.73257790368271958</v>
      </c>
      <c r="N33" s="2">
        <f t="shared" si="19"/>
        <v>0.74149276179733037</v>
      </c>
      <c r="O33" s="2">
        <f t="shared" si="19"/>
        <v>0.750091407678245</v>
      </c>
      <c r="P33" s="2">
        <f t="shared" si="19"/>
        <v>0.74757281553398058</v>
      </c>
      <c r="Q33" s="2">
        <f t="shared" ref="Q33" si="20">Q31/Q11</f>
        <v>0.74975041597337766</v>
      </c>
      <c r="R33" s="2">
        <f t="shared" si="19"/>
        <v>0.75028524857375711</v>
      </c>
      <c r="S33" s="2">
        <f t="shared" si="19"/>
        <v>0.74623073013721841</v>
      </c>
      <c r="T33" s="2">
        <f t="shared" si="19"/>
        <v>0.75655563430191353</v>
      </c>
      <c r="U33" s="2">
        <f t="shared" si="19"/>
        <v>0.73406478578892376</v>
      </c>
      <c r="V33" s="2">
        <f t="shared" si="19"/>
        <v>0.7339312406576981</v>
      </c>
      <c r="W33" s="2">
        <f t="shared" si="19"/>
        <v>0.72653061224489801</v>
      </c>
      <c r="X33" s="2">
        <f t="shared" si="19"/>
        <v>0.71001691411388834</v>
      </c>
      <c r="Y33" s="2">
        <f t="shared" si="19"/>
        <v>0.71473010064043918</v>
      </c>
      <c r="Z33" s="104"/>
      <c r="AA33" s="107"/>
      <c r="AB33" s="107"/>
    </row>
    <row r="34" spans="1:28" x14ac:dyDescent="0.25">
      <c r="V34" s="2"/>
      <c r="W34" s="2"/>
      <c r="X34" s="2"/>
      <c r="Y34" s="2"/>
      <c r="Z34" s="104"/>
      <c r="AA34" s="107"/>
      <c r="AB34" s="107"/>
    </row>
    <row r="35" spans="1:28" x14ac:dyDescent="0.25">
      <c r="A35" s="51" t="s">
        <v>32</v>
      </c>
      <c r="Z35" s="107"/>
      <c r="AA35" s="107"/>
      <c r="AB35" s="107"/>
    </row>
    <row r="36" spans="1:28" x14ac:dyDescent="0.25">
      <c r="A36" s="51" t="s">
        <v>33</v>
      </c>
      <c r="B36">
        <v>4757</v>
      </c>
      <c r="C36">
        <v>4696</v>
      </c>
      <c r="D36">
        <v>4696</v>
      </c>
      <c r="E36">
        <v>4753</v>
      </c>
      <c r="F36">
        <v>4709</v>
      </c>
      <c r="G36">
        <v>4627</v>
      </c>
      <c r="H36">
        <v>4628</v>
      </c>
      <c r="I36">
        <v>4748</v>
      </c>
      <c r="J36">
        <v>4522</v>
      </c>
      <c r="K36">
        <v>4652</v>
      </c>
      <c r="L36">
        <v>4782</v>
      </c>
      <c r="M36">
        <v>4842</v>
      </c>
      <c r="N36">
        <v>4891</v>
      </c>
      <c r="O36">
        <v>5055</v>
      </c>
      <c r="P36">
        <v>5200</v>
      </c>
      <c r="Q36">
        <v>5513</v>
      </c>
      <c r="R36">
        <v>5619</v>
      </c>
      <c r="S36">
        <v>5397</v>
      </c>
      <c r="T36">
        <v>5157</v>
      </c>
      <c r="U36">
        <v>5166</v>
      </c>
      <c r="V36">
        <v>4773</v>
      </c>
      <c r="W36">
        <v>4569</v>
      </c>
      <c r="X36">
        <v>4642</v>
      </c>
      <c r="Y36">
        <v>4788</v>
      </c>
      <c r="Z36" s="88">
        <f t="shared" ref="Z36" si="21">SUM(U36:Y36)/5</f>
        <v>4787.6000000000004</v>
      </c>
      <c r="AA36" s="88">
        <f t="shared" ref="AA36" si="22">SUM(W36:Y36)/3</f>
        <v>4666.333333333333</v>
      </c>
      <c r="AB36" s="104">
        <f t="shared" ref="AB36" si="23">(Y36/U36)-1</f>
        <v>-7.3170731707317027E-2</v>
      </c>
    </row>
    <row r="37" spans="1:28" x14ac:dyDescent="0.25">
      <c r="Z37" s="107"/>
      <c r="AA37" s="107"/>
      <c r="AB37" s="107"/>
    </row>
    <row r="38" spans="1:28" ht="13.5" customHeight="1" x14ac:dyDescent="0.25">
      <c r="Z38" s="107"/>
      <c r="AA38" s="107"/>
      <c r="AB38" s="107"/>
    </row>
    <row r="39" spans="1:28" x14ac:dyDescent="0.25">
      <c r="A39" s="59" t="s">
        <v>43</v>
      </c>
      <c r="Z39" s="107"/>
      <c r="AA39" s="107"/>
      <c r="AB39" s="107"/>
    </row>
    <row r="40" spans="1:28" x14ac:dyDescent="0.25">
      <c r="A40" s="51" t="s">
        <v>38</v>
      </c>
      <c r="B40">
        <v>1038</v>
      </c>
      <c r="C40">
        <v>1052</v>
      </c>
      <c r="D40">
        <v>1090</v>
      </c>
      <c r="E40">
        <v>1066</v>
      </c>
      <c r="F40">
        <v>1061</v>
      </c>
      <c r="G40">
        <v>991</v>
      </c>
      <c r="H40">
        <v>1176</v>
      </c>
      <c r="I40">
        <v>1234</v>
      </c>
      <c r="J40">
        <v>1044</v>
      </c>
      <c r="K40">
        <v>1079</v>
      </c>
      <c r="L40">
        <v>1079</v>
      </c>
      <c r="M40">
        <v>1055</v>
      </c>
      <c r="N40">
        <v>1100</v>
      </c>
      <c r="O40">
        <v>1140</v>
      </c>
      <c r="P40">
        <v>1185</v>
      </c>
      <c r="Q40">
        <v>1271</v>
      </c>
      <c r="R40">
        <v>1150</v>
      </c>
      <c r="S40">
        <v>1074</v>
      </c>
      <c r="T40">
        <v>974</v>
      </c>
      <c r="U40">
        <v>1049</v>
      </c>
      <c r="V40">
        <v>868</v>
      </c>
      <c r="W40">
        <v>854</v>
      </c>
      <c r="X40">
        <v>992</v>
      </c>
      <c r="Y40">
        <v>1046</v>
      </c>
      <c r="Z40" s="88">
        <f t="shared" ref="Z40:Z41" si="24">SUM(U40:Y40)/5</f>
        <v>961.8</v>
      </c>
      <c r="AA40" s="88">
        <f t="shared" ref="AA40:AA41" si="25">SUM(W40:Y40)/3</f>
        <v>964</v>
      </c>
      <c r="AB40" s="104">
        <f t="shared" ref="AB40:AB42" si="26">(Y40/U40)-1</f>
        <v>-2.8598665395614953E-3</v>
      </c>
    </row>
    <row r="41" spans="1:28" x14ac:dyDescent="0.25">
      <c r="A41" s="51" t="s">
        <v>39</v>
      </c>
      <c r="B41">
        <v>412</v>
      </c>
      <c r="C41">
        <v>351</v>
      </c>
      <c r="D41">
        <v>347</v>
      </c>
      <c r="E41">
        <v>312</v>
      </c>
      <c r="F41">
        <v>309</v>
      </c>
      <c r="G41">
        <v>337</v>
      </c>
      <c r="H41">
        <v>303</v>
      </c>
      <c r="I41">
        <v>265</v>
      </c>
      <c r="J41">
        <v>280</v>
      </c>
      <c r="K41">
        <v>286</v>
      </c>
      <c r="L41">
        <v>314</v>
      </c>
      <c r="M41">
        <v>363</v>
      </c>
      <c r="N41">
        <v>316</v>
      </c>
      <c r="O41">
        <v>346</v>
      </c>
      <c r="P41">
        <v>324</v>
      </c>
      <c r="Q41">
        <v>473</v>
      </c>
      <c r="R41">
        <v>403</v>
      </c>
      <c r="S41">
        <v>374</v>
      </c>
      <c r="T41">
        <v>373</v>
      </c>
      <c r="U41">
        <v>380</v>
      </c>
      <c r="V41">
        <v>326</v>
      </c>
      <c r="W41">
        <v>348</v>
      </c>
      <c r="X41">
        <v>334</v>
      </c>
      <c r="Y41">
        <v>316</v>
      </c>
      <c r="Z41" s="88">
        <f t="shared" si="24"/>
        <v>340.8</v>
      </c>
      <c r="AA41" s="88">
        <f t="shared" si="25"/>
        <v>332.66666666666669</v>
      </c>
      <c r="AB41" s="104">
        <f t="shared" si="26"/>
        <v>-0.16842105263157892</v>
      </c>
    </row>
    <row r="42" spans="1:28" x14ac:dyDescent="0.25">
      <c r="A42" s="60" t="s">
        <v>44</v>
      </c>
      <c r="B42" s="6">
        <f t="shared" ref="B42:L42" si="27">SUM(B40:B41)</f>
        <v>1450</v>
      </c>
      <c r="C42" s="6">
        <f t="shared" si="27"/>
        <v>1403</v>
      </c>
      <c r="D42" s="6">
        <f t="shared" si="27"/>
        <v>1437</v>
      </c>
      <c r="E42" s="6">
        <f t="shared" si="27"/>
        <v>1378</v>
      </c>
      <c r="F42" s="6">
        <f t="shared" si="27"/>
        <v>1370</v>
      </c>
      <c r="G42" s="6">
        <f t="shared" si="27"/>
        <v>1328</v>
      </c>
      <c r="H42" s="6">
        <f t="shared" si="27"/>
        <v>1479</v>
      </c>
      <c r="I42" s="6">
        <f t="shared" si="27"/>
        <v>1499</v>
      </c>
      <c r="J42" s="6">
        <f t="shared" si="27"/>
        <v>1324</v>
      </c>
      <c r="K42" s="6">
        <f t="shared" si="27"/>
        <v>1365</v>
      </c>
      <c r="L42" s="6">
        <f t="shared" si="27"/>
        <v>1393</v>
      </c>
      <c r="M42" s="6">
        <f t="shared" ref="M42:AA42" si="28">SUM(M40:M41)</f>
        <v>1418</v>
      </c>
      <c r="N42" s="6">
        <f t="shared" si="28"/>
        <v>1416</v>
      </c>
      <c r="O42" s="6">
        <f t="shared" si="28"/>
        <v>1486</v>
      </c>
      <c r="P42" s="6">
        <f t="shared" si="28"/>
        <v>1509</v>
      </c>
      <c r="Q42" s="6">
        <f t="shared" ref="Q42" si="29">SUM(Q40:Q41)</f>
        <v>1744</v>
      </c>
      <c r="R42" s="6">
        <f t="shared" si="28"/>
        <v>1553</v>
      </c>
      <c r="S42" s="6">
        <f t="shared" si="28"/>
        <v>1448</v>
      </c>
      <c r="T42" s="6">
        <f t="shared" si="28"/>
        <v>1347</v>
      </c>
      <c r="U42" s="6">
        <f t="shared" ref="U42" si="30">SUM(U40:U41)</f>
        <v>1429</v>
      </c>
      <c r="V42" s="6">
        <f t="shared" si="28"/>
        <v>1194</v>
      </c>
      <c r="W42" s="6">
        <f t="shared" si="28"/>
        <v>1202</v>
      </c>
      <c r="X42" s="6">
        <f t="shared" si="28"/>
        <v>1326</v>
      </c>
      <c r="Y42" s="6">
        <f t="shared" si="28"/>
        <v>1362</v>
      </c>
      <c r="Z42" s="107">
        <f t="shared" si="28"/>
        <v>1302.5999999999999</v>
      </c>
      <c r="AA42" s="88">
        <f t="shared" si="28"/>
        <v>1296.6666666666667</v>
      </c>
      <c r="AB42" s="104">
        <f t="shared" si="26"/>
        <v>-4.6885934219734082E-2</v>
      </c>
    </row>
    <row r="44" spans="1:28" x14ac:dyDescent="0.25">
      <c r="B44" s="2"/>
      <c r="C44" s="2"/>
      <c r="D44" s="2"/>
      <c r="E44" s="2"/>
      <c r="F44" s="2"/>
      <c r="G44" s="2"/>
      <c r="H44" s="2"/>
      <c r="I44" s="2"/>
      <c r="J44" s="2"/>
      <c r="K44" s="2"/>
      <c r="L44" s="2"/>
      <c r="M44" s="2"/>
      <c r="N44" s="2"/>
      <c r="O44" s="2"/>
      <c r="P44" s="2"/>
      <c r="Q44" s="2"/>
      <c r="R44" s="2"/>
      <c r="S44" s="2"/>
      <c r="T44" s="2"/>
    </row>
    <row r="45" spans="1:28" ht="39.6" x14ac:dyDescent="0.25">
      <c r="A45" s="50" t="s">
        <v>40</v>
      </c>
      <c r="B45" s="2"/>
      <c r="C45" s="2"/>
      <c r="D45" s="2"/>
      <c r="E45" s="2"/>
      <c r="F45" s="2"/>
      <c r="G45" s="2"/>
      <c r="H45" s="2"/>
      <c r="I45" s="2"/>
      <c r="J45" s="2"/>
      <c r="K45" s="2"/>
      <c r="L45" s="2"/>
      <c r="M45" s="2"/>
      <c r="N45" s="2"/>
      <c r="O45" s="2"/>
      <c r="P45" s="2"/>
      <c r="Q45" s="2"/>
      <c r="R45" s="2"/>
      <c r="S45" s="2"/>
      <c r="T45" s="2"/>
      <c r="U45" s="2"/>
      <c r="V45" s="2"/>
      <c r="W45" s="2"/>
      <c r="X45" s="2"/>
      <c r="Y45" s="2"/>
      <c r="Z45" s="22" t="s">
        <v>68</v>
      </c>
      <c r="AA45" s="22" t="s">
        <v>68</v>
      </c>
      <c r="AB45" s="26" t="s">
        <v>131</v>
      </c>
    </row>
    <row r="46" spans="1:28" x14ac:dyDescent="0.25">
      <c r="B46" s="3" t="s">
        <v>13</v>
      </c>
      <c r="C46" s="3" t="s">
        <v>1</v>
      </c>
      <c r="D46" s="3" t="s">
        <v>2</v>
      </c>
      <c r="E46" s="3" t="s">
        <v>3</v>
      </c>
      <c r="F46" s="3" t="s">
        <v>4</v>
      </c>
      <c r="G46" s="3" t="s">
        <v>11</v>
      </c>
      <c r="H46" s="3" t="s">
        <v>5</v>
      </c>
      <c r="I46" s="3" t="s">
        <v>14</v>
      </c>
      <c r="J46" s="3" t="s">
        <v>35</v>
      </c>
      <c r="K46" s="3" t="s">
        <v>36</v>
      </c>
      <c r="L46" s="3" t="s">
        <v>37</v>
      </c>
      <c r="M46" s="3" t="s">
        <v>108</v>
      </c>
      <c r="N46" s="3" t="s">
        <v>124</v>
      </c>
      <c r="O46" s="69" t="s">
        <v>125</v>
      </c>
      <c r="P46" s="69" t="s">
        <v>128</v>
      </c>
      <c r="Q46" s="69" t="s">
        <v>139</v>
      </c>
      <c r="R46" s="85" t="s">
        <v>141</v>
      </c>
      <c r="S46" s="85" t="s">
        <v>151</v>
      </c>
      <c r="T46" s="85" t="s">
        <v>156</v>
      </c>
      <c r="U46" s="85" t="s">
        <v>160</v>
      </c>
      <c r="V46" s="85" t="s">
        <v>167</v>
      </c>
      <c r="W46" s="85" t="s">
        <v>170</v>
      </c>
      <c r="X46" s="85" t="s">
        <v>174</v>
      </c>
      <c r="Y46" s="85" t="s">
        <v>175</v>
      </c>
      <c r="Z46" s="16" t="s">
        <v>69</v>
      </c>
      <c r="AA46" s="16" t="s">
        <v>70</v>
      </c>
    </row>
    <row r="47" spans="1:28" x14ac:dyDescent="0.25">
      <c r="A47" s="51" t="s">
        <v>41</v>
      </c>
      <c r="B47">
        <v>4827</v>
      </c>
      <c r="C47">
        <v>4770</v>
      </c>
      <c r="D47">
        <v>4852</v>
      </c>
      <c r="E47">
        <v>4810</v>
      </c>
      <c r="F47">
        <v>4878</v>
      </c>
      <c r="G47">
        <v>4793</v>
      </c>
      <c r="H47">
        <v>4883</v>
      </c>
      <c r="I47">
        <v>4922</v>
      </c>
      <c r="J47">
        <v>4652</v>
      </c>
      <c r="K47">
        <v>4646</v>
      </c>
      <c r="L47">
        <v>4769</v>
      </c>
      <c r="M47">
        <v>4687</v>
      </c>
      <c r="N47">
        <v>4713</v>
      </c>
      <c r="O47">
        <v>4864</v>
      </c>
      <c r="P47">
        <v>5079</v>
      </c>
      <c r="Q47">
        <v>5455</v>
      </c>
      <c r="R47">
        <v>5448</v>
      </c>
      <c r="S47">
        <v>5156</v>
      </c>
      <c r="T47">
        <v>4911</v>
      </c>
      <c r="U47">
        <v>4796</v>
      </c>
      <c r="V47">
        <v>4431</v>
      </c>
      <c r="W47">
        <v>4162</v>
      </c>
      <c r="X47">
        <v>4187</v>
      </c>
      <c r="Y47">
        <v>4133</v>
      </c>
      <c r="Z47" s="88">
        <f t="shared" ref="Z47:Z49" si="31">SUM(U47:Y47)/5</f>
        <v>4341.8</v>
      </c>
      <c r="AA47" s="88">
        <f t="shared" ref="AA47:AA49" si="32">SUM(W47:Y47)/3</f>
        <v>4160.666666666667</v>
      </c>
      <c r="AB47" s="104">
        <f t="shared" ref="AB47:AB50" si="33">(Y47/U47)-1</f>
        <v>-0.13824020016680572</v>
      </c>
    </row>
    <row r="48" spans="1:28" x14ac:dyDescent="0.25">
      <c r="A48" s="51" t="s">
        <v>42</v>
      </c>
      <c r="B48">
        <v>96</v>
      </c>
      <c r="C48">
        <v>91</v>
      </c>
      <c r="D48">
        <v>106</v>
      </c>
      <c r="E48">
        <v>159</v>
      </c>
      <c r="F48">
        <v>88</v>
      </c>
      <c r="G48">
        <v>87</v>
      </c>
      <c r="H48">
        <v>43</v>
      </c>
      <c r="I48">
        <v>99</v>
      </c>
      <c r="J48">
        <v>158</v>
      </c>
      <c r="K48">
        <v>305</v>
      </c>
      <c r="L48">
        <v>380</v>
      </c>
      <c r="M48">
        <v>491</v>
      </c>
      <c r="N48">
        <v>507</v>
      </c>
      <c r="O48">
        <v>522</v>
      </c>
      <c r="P48">
        <v>463</v>
      </c>
      <c r="Q48">
        <v>428</v>
      </c>
      <c r="R48">
        <v>563</v>
      </c>
      <c r="S48">
        <v>605</v>
      </c>
      <c r="T48">
        <v>634</v>
      </c>
      <c r="U48">
        <v>770</v>
      </c>
      <c r="V48">
        <v>809</v>
      </c>
      <c r="W48">
        <v>894</v>
      </c>
      <c r="X48">
        <v>1050</v>
      </c>
      <c r="Y48">
        <v>1257</v>
      </c>
      <c r="Z48" s="88">
        <f t="shared" si="31"/>
        <v>956</v>
      </c>
      <c r="AA48" s="88">
        <f t="shared" si="32"/>
        <v>1067</v>
      </c>
      <c r="AB48" s="104">
        <f t="shared" si="33"/>
        <v>0.6324675324675324</v>
      </c>
    </row>
    <row r="49" spans="1:28" x14ac:dyDescent="0.25">
      <c r="A49" s="51" t="s">
        <v>53</v>
      </c>
      <c r="B49">
        <v>244</v>
      </c>
      <c r="C49">
        <v>248</v>
      </c>
      <c r="D49">
        <v>199</v>
      </c>
      <c r="E49">
        <v>261</v>
      </c>
      <c r="F49">
        <v>234</v>
      </c>
      <c r="G49">
        <v>238</v>
      </c>
      <c r="H49">
        <v>215</v>
      </c>
      <c r="I49">
        <v>211</v>
      </c>
      <c r="J49">
        <v>152</v>
      </c>
      <c r="K49">
        <v>154</v>
      </c>
      <c r="L49">
        <v>122</v>
      </c>
      <c r="M49">
        <v>117</v>
      </c>
      <c r="N49">
        <v>99</v>
      </c>
      <c r="O49">
        <v>84</v>
      </c>
      <c r="P49">
        <v>123</v>
      </c>
      <c r="Q49">
        <v>127</v>
      </c>
      <c r="R49">
        <v>124</v>
      </c>
      <c r="S49">
        <v>142</v>
      </c>
      <c r="T49">
        <v>99</v>
      </c>
      <c r="U49">
        <v>176</v>
      </c>
      <c r="V49">
        <v>112</v>
      </c>
      <c r="W49">
        <v>89</v>
      </c>
      <c r="X49">
        <v>84</v>
      </c>
      <c r="Y49">
        <v>75</v>
      </c>
      <c r="Z49" s="88">
        <f t="shared" si="31"/>
        <v>107.2</v>
      </c>
      <c r="AA49" s="88">
        <f t="shared" si="32"/>
        <v>82.666666666666671</v>
      </c>
      <c r="AB49" s="104">
        <f t="shared" si="33"/>
        <v>-0.57386363636363635</v>
      </c>
    </row>
    <row r="50" spans="1:28" x14ac:dyDescent="0.25">
      <c r="A50" s="60" t="s">
        <v>45</v>
      </c>
      <c r="B50" s="6">
        <f>SUM(B47:B49)</f>
        <v>5167</v>
      </c>
      <c r="C50" s="6">
        <f t="shared" ref="C50:O50" si="34">SUM(C47:C49)</f>
        <v>5109</v>
      </c>
      <c r="D50" s="6">
        <f t="shared" si="34"/>
        <v>5157</v>
      </c>
      <c r="E50" s="6">
        <f t="shared" si="34"/>
        <v>5230</v>
      </c>
      <c r="F50" s="6">
        <f t="shared" si="34"/>
        <v>5200</v>
      </c>
      <c r="G50" s="6">
        <f t="shared" si="34"/>
        <v>5118</v>
      </c>
      <c r="H50" s="6">
        <f t="shared" si="34"/>
        <v>5141</v>
      </c>
      <c r="I50" s="6">
        <f t="shared" si="34"/>
        <v>5232</v>
      </c>
      <c r="J50" s="6">
        <f t="shared" si="34"/>
        <v>4962</v>
      </c>
      <c r="K50" s="6">
        <f t="shared" si="34"/>
        <v>5105</v>
      </c>
      <c r="L50" s="6">
        <f t="shared" si="34"/>
        <v>5271</v>
      </c>
      <c r="M50" s="6">
        <f t="shared" si="34"/>
        <v>5295</v>
      </c>
      <c r="N50" s="6">
        <f t="shared" si="34"/>
        <v>5319</v>
      </c>
      <c r="O50" s="6">
        <f t="shared" si="34"/>
        <v>5470</v>
      </c>
      <c r="P50" s="6">
        <f t="shared" ref="P50:Y50" si="35">SUM(P47:P49)</f>
        <v>5665</v>
      </c>
      <c r="Q50" s="6">
        <f t="shared" si="35"/>
        <v>6010</v>
      </c>
      <c r="R50" s="6">
        <f t="shared" si="35"/>
        <v>6135</v>
      </c>
      <c r="S50" s="6">
        <f t="shared" si="35"/>
        <v>5903</v>
      </c>
      <c r="T50" s="6">
        <f t="shared" si="35"/>
        <v>5644</v>
      </c>
      <c r="U50" s="6">
        <f t="shared" ref="U50" si="36">SUM(U47:U49)</f>
        <v>5742</v>
      </c>
      <c r="V50" s="6">
        <f t="shared" si="35"/>
        <v>5352</v>
      </c>
      <c r="W50" s="6">
        <f t="shared" si="35"/>
        <v>5145</v>
      </c>
      <c r="X50" s="6">
        <f t="shared" si="35"/>
        <v>5321</v>
      </c>
      <c r="Y50" s="6">
        <f t="shared" si="35"/>
        <v>5465</v>
      </c>
      <c r="Z50" s="88">
        <f>SUM(Z46:Z49)</f>
        <v>5405</v>
      </c>
      <c r="AA50" s="88">
        <f>SUM(AA46:AA49)</f>
        <v>5310.3333333333339</v>
      </c>
      <c r="AB50" s="104">
        <f t="shared" si="33"/>
        <v>-4.8241030999651713E-2</v>
      </c>
    </row>
    <row r="51" spans="1:28" s="8" customFormat="1" x14ac:dyDescent="0.25">
      <c r="A51" s="63"/>
      <c r="Z51" s="107"/>
      <c r="AA51" s="107"/>
      <c r="AB51" s="107"/>
    </row>
    <row r="52" spans="1:28" x14ac:dyDescent="0.25">
      <c r="Z52" s="107"/>
      <c r="AA52" s="107"/>
      <c r="AB52" s="107"/>
    </row>
    <row r="53" spans="1:28" x14ac:dyDescent="0.25">
      <c r="A53" s="50" t="s">
        <v>120</v>
      </c>
      <c r="V53" s="22"/>
      <c r="W53" s="22"/>
      <c r="X53" s="22"/>
      <c r="Y53" s="22"/>
      <c r="Z53" s="110"/>
      <c r="AA53" s="107"/>
      <c r="AB53" s="107"/>
    </row>
    <row r="54" spans="1:28" x14ac:dyDescent="0.25">
      <c r="A54" s="51" t="s">
        <v>121</v>
      </c>
      <c r="B54">
        <v>3596</v>
      </c>
      <c r="C54">
        <v>3642</v>
      </c>
      <c r="D54">
        <v>3752</v>
      </c>
      <c r="E54">
        <v>3745</v>
      </c>
      <c r="F54">
        <v>3883</v>
      </c>
      <c r="G54">
        <v>3815</v>
      </c>
      <c r="H54">
        <v>3915</v>
      </c>
      <c r="I54">
        <v>3932</v>
      </c>
      <c r="J54">
        <v>3704</v>
      </c>
      <c r="K54">
        <v>3760</v>
      </c>
      <c r="L54" s="17">
        <v>3800</v>
      </c>
      <c r="M54" s="17">
        <v>3647</v>
      </c>
      <c r="N54" s="17">
        <v>3626</v>
      </c>
      <c r="O54" s="17">
        <v>3825</v>
      </c>
      <c r="P54" s="17">
        <v>4073</v>
      </c>
      <c r="Q54" s="17">
        <v>4363</v>
      </c>
      <c r="R54" s="17">
        <v>4320</v>
      </c>
      <c r="S54" s="17">
        <v>4077</v>
      </c>
      <c r="T54" s="17">
        <v>3947</v>
      </c>
      <c r="U54" s="17">
        <v>3885</v>
      </c>
      <c r="V54" s="17">
        <v>3636</v>
      </c>
      <c r="W54" s="17">
        <v>3441</v>
      </c>
      <c r="X54" s="17">
        <v>3503</v>
      </c>
      <c r="Y54" s="17">
        <v>3592</v>
      </c>
      <c r="Z54" s="88">
        <f t="shared" ref="Z54:Z55" si="37">SUM(U54:Y54)/5</f>
        <v>3611.4</v>
      </c>
      <c r="AA54" s="88">
        <f t="shared" ref="AA54:AA55" si="38">SUM(W54:Y54)/3</f>
        <v>3512</v>
      </c>
      <c r="AB54" s="104">
        <f t="shared" ref="AB54:AB56" si="39">(Y54/U54)-1</f>
        <v>-7.5418275418275393E-2</v>
      </c>
    </row>
    <row r="55" spans="1:28" x14ac:dyDescent="0.25">
      <c r="A55" s="51" t="s">
        <v>122</v>
      </c>
      <c r="B55">
        <v>1571</v>
      </c>
      <c r="C55">
        <v>1467</v>
      </c>
      <c r="D55">
        <v>1405</v>
      </c>
      <c r="E55">
        <v>1485</v>
      </c>
      <c r="F55">
        <v>1317</v>
      </c>
      <c r="G55">
        <v>1303</v>
      </c>
      <c r="H55">
        <v>1226</v>
      </c>
      <c r="I55">
        <v>1300</v>
      </c>
      <c r="J55">
        <v>1258</v>
      </c>
      <c r="K55">
        <v>1345</v>
      </c>
      <c r="L55" s="17">
        <v>1471</v>
      </c>
      <c r="M55" s="17">
        <v>1648</v>
      </c>
      <c r="N55" s="17">
        <v>1693</v>
      </c>
      <c r="O55" s="17">
        <v>1645</v>
      </c>
      <c r="P55" s="17">
        <v>1592</v>
      </c>
      <c r="Q55" s="17">
        <v>1647</v>
      </c>
      <c r="R55" s="17">
        <v>1815</v>
      </c>
      <c r="S55" s="17">
        <v>1826</v>
      </c>
      <c r="T55" s="17">
        <v>1697</v>
      </c>
      <c r="U55" s="17">
        <v>1857</v>
      </c>
      <c r="V55" s="17">
        <v>1716</v>
      </c>
      <c r="W55" s="17">
        <v>1704</v>
      </c>
      <c r="X55" s="17">
        <v>1818</v>
      </c>
      <c r="Y55" s="17">
        <v>1873</v>
      </c>
      <c r="Z55" s="88">
        <f t="shared" si="37"/>
        <v>1793.6</v>
      </c>
      <c r="AA55" s="88">
        <f t="shared" si="38"/>
        <v>1798.3333333333333</v>
      </c>
      <c r="AB55" s="104">
        <f t="shared" si="39"/>
        <v>8.6160473882606059E-3</v>
      </c>
    </row>
    <row r="56" spans="1:28" x14ac:dyDescent="0.25">
      <c r="A56" s="60" t="s">
        <v>10</v>
      </c>
      <c r="B56" s="6">
        <f>SUM(B54:B55)</f>
        <v>5167</v>
      </c>
      <c r="C56" s="6">
        <f t="shared" ref="C56:P56" si="40">SUM(C54:C55)</f>
        <v>5109</v>
      </c>
      <c r="D56" s="6">
        <f t="shared" si="40"/>
        <v>5157</v>
      </c>
      <c r="E56" s="6">
        <f t="shared" si="40"/>
        <v>5230</v>
      </c>
      <c r="F56" s="6">
        <f t="shared" si="40"/>
        <v>5200</v>
      </c>
      <c r="G56" s="6">
        <f t="shared" si="40"/>
        <v>5118</v>
      </c>
      <c r="H56" s="6">
        <f t="shared" si="40"/>
        <v>5141</v>
      </c>
      <c r="I56" s="6">
        <f t="shared" si="40"/>
        <v>5232</v>
      </c>
      <c r="J56" s="6">
        <f t="shared" si="40"/>
        <v>4962</v>
      </c>
      <c r="K56" s="6">
        <f t="shared" si="40"/>
        <v>5105</v>
      </c>
      <c r="L56" s="6">
        <f t="shared" si="40"/>
        <v>5271</v>
      </c>
      <c r="M56" s="6">
        <f t="shared" si="40"/>
        <v>5295</v>
      </c>
      <c r="N56" s="6">
        <f t="shared" si="40"/>
        <v>5319</v>
      </c>
      <c r="O56" s="6">
        <f t="shared" si="40"/>
        <v>5470</v>
      </c>
      <c r="P56" s="6">
        <f t="shared" si="40"/>
        <v>5665</v>
      </c>
      <c r="Q56" s="6">
        <f t="shared" ref="Q56:AA56" si="41">SUM(Q54:Q55)</f>
        <v>6010</v>
      </c>
      <c r="R56" s="6">
        <f t="shared" si="41"/>
        <v>6135</v>
      </c>
      <c r="S56" s="6">
        <f t="shared" si="41"/>
        <v>5903</v>
      </c>
      <c r="T56" s="6">
        <f t="shared" si="41"/>
        <v>5644</v>
      </c>
      <c r="U56" s="6">
        <f t="shared" ref="U56" si="42">SUM(U54:U55)</f>
        <v>5742</v>
      </c>
      <c r="V56" s="6">
        <f t="shared" si="41"/>
        <v>5352</v>
      </c>
      <c r="W56" s="6">
        <f t="shared" si="41"/>
        <v>5145</v>
      </c>
      <c r="X56" s="6">
        <f t="shared" si="41"/>
        <v>5321</v>
      </c>
      <c r="Y56" s="6">
        <f t="shared" si="41"/>
        <v>5465</v>
      </c>
      <c r="Z56" s="88">
        <f t="shared" si="41"/>
        <v>5405</v>
      </c>
      <c r="AA56" s="88">
        <f t="shared" si="41"/>
        <v>5310.333333333333</v>
      </c>
      <c r="AB56" s="104">
        <f t="shared" si="39"/>
        <v>-4.8241030999651713E-2</v>
      </c>
    </row>
    <row r="57" spans="1:28" x14ac:dyDescent="0.25">
      <c r="Z57" s="107"/>
      <c r="AA57" s="107"/>
      <c r="AB57" s="107"/>
    </row>
    <row r="58" spans="1:28" x14ac:dyDescent="0.25">
      <c r="A58" s="51" t="s">
        <v>123</v>
      </c>
      <c r="B58" s="2">
        <f>B54/B56</f>
        <v>0.69595509967098901</v>
      </c>
      <c r="C58" s="2">
        <f t="shared" ref="C58:AA58" si="43">C54/C56</f>
        <v>0.71285965942454488</v>
      </c>
      <c r="D58" s="2">
        <f t="shared" si="43"/>
        <v>0.72755477991080086</v>
      </c>
      <c r="E58" s="2">
        <f t="shared" si="43"/>
        <v>0.71606118546845121</v>
      </c>
      <c r="F58" s="2">
        <f t="shared" si="43"/>
        <v>0.7467307692307692</v>
      </c>
      <c r="G58" s="2">
        <f t="shared" si="43"/>
        <v>0.74540836264165689</v>
      </c>
      <c r="H58" s="2">
        <f t="shared" si="43"/>
        <v>0.7615249951371329</v>
      </c>
      <c r="I58" s="2">
        <f t="shared" si="43"/>
        <v>0.75152905198776754</v>
      </c>
      <c r="J58" s="2">
        <f t="shared" si="43"/>
        <v>0.74647319629181785</v>
      </c>
      <c r="K58" s="2">
        <f t="shared" si="43"/>
        <v>0.73653281096963763</v>
      </c>
      <c r="L58" s="2">
        <f t="shared" si="43"/>
        <v>0.72092582052741416</v>
      </c>
      <c r="M58" s="2">
        <f t="shared" si="43"/>
        <v>0.68876298394711988</v>
      </c>
      <c r="N58" s="2">
        <f t="shared" si="43"/>
        <v>0.68170708779845834</v>
      </c>
      <c r="O58" s="2">
        <f t="shared" si="43"/>
        <v>0.69926873857404026</v>
      </c>
      <c r="P58" s="2">
        <f t="shared" si="43"/>
        <v>0.71897616946160636</v>
      </c>
      <c r="Q58" s="2">
        <f t="shared" ref="Q58" si="44">Q54/Q56</f>
        <v>0.7259567387687188</v>
      </c>
      <c r="R58" s="2">
        <f t="shared" si="43"/>
        <v>0.70415647921760394</v>
      </c>
      <c r="S58" s="2">
        <f t="shared" si="43"/>
        <v>0.69066576317126882</v>
      </c>
      <c r="T58" s="2">
        <f t="shared" si="43"/>
        <v>0.69932671863926288</v>
      </c>
      <c r="U58" s="2">
        <f t="shared" ref="U58" si="45">U54/U56</f>
        <v>0.67659352142110762</v>
      </c>
      <c r="V58" s="2">
        <f t="shared" si="43"/>
        <v>0.679372197309417</v>
      </c>
      <c r="W58" s="2">
        <f t="shared" si="43"/>
        <v>0.66880466472303202</v>
      </c>
      <c r="X58" s="2">
        <f t="shared" si="43"/>
        <v>0.65833489945498969</v>
      </c>
      <c r="Y58" s="2">
        <f t="shared" si="43"/>
        <v>0.65727355901189388</v>
      </c>
      <c r="Z58" s="104">
        <f t="shared" si="43"/>
        <v>0.66815911193339506</v>
      </c>
      <c r="AA58" s="104">
        <f t="shared" si="43"/>
        <v>0.66135208084865993</v>
      </c>
      <c r="AB58" s="107"/>
    </row>
    <row r="59" spans="1:28" x14ac:dyDescent="0.25">
      <c r="B59" s="2"/>
      <c r="C59" s="2"/>
      <c r="D59" s="2"/>
      <c r="E59" s="2"/>
      <c r="F59" s="2"/>
      <c r="G59" s="2"/>
      <c r="H59" s="2"/>
      <c r="I59" s="2"/>
      <c r="J59" s="2"/>
      <c r="K59" s="2"/>
      <c r="L59" s="2"/>
      <c r="M59" s="2"/>
      <c r="N59" s="2"/>
      <c r="O59" s="2"/>
      <c r="P59" s="2"/>
      <c r="Q59" s="2"/>
      <c r="R59" s="2"/>
      <c r="S59" s="2"/>
      <c r="T59" s="2"/>
      <c r="U59" s="2"/>
      <c r="V59" s="2"/>
      <c r="W59" s="2"/>
      <c r="X59" s="2"/>
      <c r="Y59" s="2"/>
      <c r="Z59" s="104"/>
      <c r="AA59" s="107"/>
      <c r="AB59" s="107"/>
    </row>
    <row r="60" spans="1:28" x14ac:dyDescent="0.25">
      <c r="Z60" s="107"/>
      <c r="AA60" s="107"/>
      <c r="AB60" s="107"/>
    </row>
    <row r="61" spans="1:28" x14ac:dyDescent="0.25">
      <c r="A61" s="59" t="s">
        <v>71</v>
      </c>
      <c r="Z61" s="107"/>
      <c r="AA61" s="107"/>
      <c r="AB61" s="107"/>
    </row>
    <row r="62" spans="1:28" s="23" customFormat="1" x14ac:dyDescent="0.25">
      <c r="A62" s="64" t="s">
        <v>72</v>
      </c>
      <c r="B62" s="23">
        <v>58600</v>
      </c>
      <c r="C62" s="23">
        <v>59075</v>
      </c>
      <c r="D62" s="23">
        <v>60348</v>
      </c>
      <c r="E62" s="23">
        <v>60583</v>
      </c>
      <c r="F62" s="23">
        <v>61349</v>
      </c>
      <c r="G62" s="23">
        <v>60631</v>
      </c>
      <c r="H62" s="23">
        <v>61506</v>
      </c>
      <c r="I62" s="23">
        <v>62123</v>
      </c>
      <c r="J62" s="23">
        <v>59072</v>
      </c>
      <c r="K62" s="23">
        <v>60060</v>
      </c>
      <c r="L62" s="23">
        <v>61052</v>
      </c>
      <c r="M62" s="23">
        <v>60041</v>
      </c>
      <c r="N62" s="23">
        <v>60617</v>
      </c>
      <c r="O62" s="23">
        <v>63032</v>
      </c>
      <c r="P62" s="23">
        <v>66547</v>
      </c>
      <c r="Q62" s="23">
        <v>70953</v>
      </c>
      <c r="R62" s="23">
        <v>71331</v>
      </c>
      <c r="S62" s="23">
        <v>67586</v>
      </c>
      <c r="T62" s="23">
        <v>64844</v>
      </c>
      <c r="U62" s="23">
        <v>64839</v>
      </c>
      <c r="V62" s="23">
        <v>60520</v>
      </c>
      <c r="W62" s="23">
        <v>57816</v>
      </c>
      <c r="X62" s="23">
        <v>59220</v>
      </c>
      <c r="Y62" s="23">
        <v>60557</v>
      </c>
      <c r="Z62" s="88">
        <f t="shared" ref="Z62" si="46">SUM(U62:Y62)/5</f>
        <v>60590.400000000001</v>
      </c>
      <c r="AA62" s="88">
        <f t="shared" ref="AA62" si="47">SUM(W62:Y62)/3</f>
        <v>59197.666666666664</v>
      </c>
      <c r="AB62" s="104">
        <f t="shared" ref="AB62" si="48">(Y62/U62)-1</f>
        <v>-6.6040500316167705E-2</v>
      </c>
    </row>
    <row r="63" spans="1:28" s="23" customFormat="1" x14ac:dyDescent="0.25">
      <c r="A63" s="64" t="s">
        <v>178</v>
      </c>
      <c r="B63" s="23">
        <v>123130</v>
      </c>
      <c r="C63" s="23">
        <v>121565</v>
      </c>
      <c r="D63" s="23">
        <v>125393</v>
      </c>
      <c r="E63" s="23">
        <v>127026</v>
      </c>
      <c r="F63" s="23">
        <v>127000</v>
      </c>
      <c r="G63" s="23">
        <v>126162</v>
      </c>
      <c r="H63" s="23">
        <v>127139</v>
      </c>
      <c r="I63" s="23">
        <v>128465</v>
      </c>
      <c r="J63" s="23">
        <v>122179</v>
      </c>
      <c r="K63" s="23">
        <v>121048</v>
      </c>
      <c r="L63" s="23">
        <v>123560</v>
      </c>
      <c r="M63" s="23">
        <v>120269</v>
      </c>
      <c r="N63" s="23">
        <v>120938</v>
      </c>
      <c r="O63" s="23">
        <v>129197</v>
      </c>
      <c r="P63" s="23">
        <v>134253</v>
      </c>
      <c r="Q63" s="23">
        <v>142768</v>
      </c>
      <c r="R63" s="23">
        <v>140421</v>
      </c>
      <c r="S63" s="23">
        <v>133559</v>
      </c>
      <c r="T63" s="23">
        <v>128573</v>
      </c>
      <c r="U63" s="23">
        <v>127369</v>
      </c>
      <c r="V63" s="23">
        <v>118705</v>
      </c>
      <c r="W63" s="23">
        <v>112936</v>
      </c>
      <c r="X63" s="23">
        <v>115214</v>
      </c>
      <c r="Z63" s="47"/>
      <c r="AA63" s="47"/>
      <c r="AB63" s="2"/>
    </row>
    <row r="64" spans="1:28" x14ac:dyDescent="0.25">
      <c r="A64" s="51" t="s">
        <v>138</v>
      </c>
      <c r="F64" s="2">
        <f>F62/F63</f>
        <v>0.48306299212598425</v>
      </c>
      <c r="G64" s="2">
        <f t="shared" ref="G64:P64" si="49">G62/G63</f>
        <v>0.4805805234539719</v>
      </c>
      <c r="H64" s="2">
        <f t="shared" si="49"/>
        <v>0.4837697323401946</v>
      </c>
      <c r="I64" s="2">
        <f t="shared" si="49"/>
        <v>0.48357918499202118</v>
      </c>
      <c r="J64" s="2">
        <f t="shared" si="49"/>
        <v>0.48348734234197366</v>
      </c>
      <c r="K64" s="2">
        <f t="shared" si="49"/>
        <v>0.49616680986055117</v>
      </c>
      <c r="L64" s="2">
        <f t="shared" si="49"/>
        <v>0.49410812560699258</v>
      </c>
      <c r="M64" s="2">
        <f t="shared" si="49"/>
        <v>0.49922257605866849</v>
      </c>
      <c r="N64" s="2">
        <f t="shared" si="49"/>
        <v>0.50122376755031506</v>
      </c>
      <c r="O64" s="2">
        <f t="shared" si="49"/>
        <v>0.48787510545910506</v>
      </c>
      <c r="P64" s="2">
        <f t="shared" si="49"/>
        <v>0.49568352290079176</v>
      </c>
      <c r="Q64" s="2">
        <f t="shared" ref="Q64:Y64" si="50">Q62/Q63</f>
        <v>0.49698111621651908</v>
      </c>
      <c r="R64" s="2">
        <f t="shared" si="50"/>
        <v>0.5079795757044886</v>
      </c>
      <c r="S64" s="2">
        <f t="shared" si="50"/>
        <v>0.50603852978833319</v>
      </c>
      <c r="T64" s="2">
        <f t="shared" si="50"/>
        <v>0.50433605811484528</v>
      </c>
      <c r="U64" s="2">
        <f t="shared" si="50"/>
        <v>0.50906421499736987</v>
      </c>
      <c r="V64" s="2">
        <f t="shared" si="50"/>
        <v>0.50983530601069882</v>
      </c>
      <c r="W64" s="2">
        <f t="shared" si="50"/>
        <v>0.51193596373167105</v>
      </c>
      <c r="X64" s="2">
        <f t="shared" si="50"/>
        <v>0.51400003471800304</v>
      </c>
      <c r="Y64" s="2" t="e">
        <f t="shared" si="50"/>
        <v>#DIV/0!</v>
      </c>
      <c r="Z64" s="2"/>
      <c r="AA64" s="2"/>
    </row>
    <row r="66" spans="1:27" s="1" customFormat="1" x14ac:dyDescent="0.25">
      <c r="A66" s="50" t="s">
        <v>77</v>
      </c>
      <c r="V66" s="22"/>
      <c r="W66" s="22"/>
      <c r="X66" s="22"/>
      <c r="Y66" s="22"/>
      <c r="Z66" s="22"/>
      <c r="AA66"/>
    </row>
    <row r="67" spans="1:27" s="15" customFormat="1" x14ac:dyDescent="0.25">
      <c r="A67" s="28" t="s">
        <v>73</v>
      </c>
      <c r="B67" s="19"/>
      <c r="C67" s="19"/>
      <c r="D67" s="27"/>
      <c r="E67" s="19"/>
      <c r="F67" s="19"/>
      <c r="G67" s="19"/>
      <c r="H67" s="19"/>
      <c r="I67" s="19"/>
      <c r="J67" s="19"/>
      <c r="K67" s="19"/>
      <c r="L67" s="19"/>
      <c r="M67" s="19"/>
      <c r="N67" s="19"/>
      <c r="O67" s="19"/>
      <c r="P67" s="19"/>
      <c r="Q67" s="19"/>
      <c r="R67" s="19"/>
      <c r="S67" s="19"/>
      <c r="T67" s="19"/>
      <c r="U67" s="19"/>
      <c r="V67" s="21"/>
      <c r="W67" s="21"/>
      <c r="X67" s="21"/>
      <c r="Y67" s="21"/>
      <c r="Z67" s="21"/>
      <c r="AA67" s="21"/>
    </row>
    <row r="68" spans="1:27" s="20" customFormat="1" x14ac:dyDescent="0.25">
      <c r="A68" s="57" t="s">
        <v>54</v>
      </c>
      <c r="B68" s="20">
        <v>1356</v>
      </c>
      <c r="C68" s="20">
        <v>1385</v>
      </c>
      <c r="D68" s="24">
        <v>1459</v>
      </c>
      <c r="E68" s="20">
        <v>1531</v>
      </c>
      <c r="F68" s="20">
        <v>1557</v>
      </c>
      <c r="G68" s="25">
        <v>1458</v>
      </c>
      <c r="H68" s="25">
        <v>1510</v>
      </c>
      <c r="I68" s="25">
        <v>1643</v>
      </c>
      <c r="J68" s="25">
        <v>1435</v>
      </c>
      <c r="K68" s="25">
        <v>1397</v>
      </c>
      <c r="L68" s="25">
        <v>1442</v>
      </c>
      <c r="M68" s="25">
        <v>1319</v>
      </c>
      <c r="N68" s="25">
        <v>1345</v>
      </c>
      <c r="O68" s="25">
        <v>1406</v>
      </c>
      <c r="P68" s="25">
        <v>1369</v>
      </c>
      <c r="Q68" s="25">
        <v>1440</v>
      </c>
      <c r="R68" s="25">
        <v>1371</v>
      </c>
      <c r="S68" s="25">
        <v>1246</v>
      </c>
      <c r="T68" s="25">
        <v>1250</v>
      </c>
      <c r="U68" s="25">
        <v>1249</v>
      </c>
      <c r="V68" s="25">
        <v>1199</v>
      </c>
      <c r="W68" s="25">
        <v>1178</v>
      </c>
      <c r="X68" s="25">
        <v>1300</v>
      </c>
      <c r="Y68" s="25">
        <v>1415</v>
      </c>
      <c r="Z68" s="88">
        <f t="shared" ref="Z68:Z71" si="51">SUM(U68:Y68)/5</f>
        <v>1268.2</v>
      </c>
      <c r="AA68" s="88">
        <f t="shared" ref="AA68:AA71" si="52">SUM(W68:Y68)/3</f>
        <v>1297.6666666666667</v>
      </c>
    </row>
    <row r="69" spans="1:27" x14ac:dyDescent="0.25">
      <c r="A69" s="51" t="s">
        <v>55</v>
      </c>
      <c r="B69">
        <v>1498</v>
      </c>
      <c r="C69">
        <v>1549</v>
      </c>
      <c r="D69" s="26">
        <v>1616</v>
      </c>
      <c r="E69">
        <v>1616</v>
      </c>
      <c r="F69">
        <v>1776</v>
      </c>
      <c r="G69">
        <v>1866</v>
      </c>
      <c r="H69">
        <v>1871</v>
      </c>
      <c r="I69">
        <v>1767</v>
      </c>
      <c r="J69">
        <v>1751</v>
      </c>
      <c r="K69">
        <v>1832</v>
      </c>
      <c r="L69">
        <v>1839</v>
      </c>
      <c r="M69">
        <v>1787</v>
      </c>
      <c r="N69">
        <v>1739</v>
      </c>
      <c r="O69">
        <v>1831</v>
      </c>
      <c r="P69">
        <v>1991</v>
      </c>
      <c r="Q69">
        <v>2124</v>
      </c>
      <c r="R69">
        <v>2064</v>
      </c>
      <c r="S69">
        <v>1966</v>
      </c>
      <c r="T69">
        <v>1929</v>
      </c>
      <c r="U69">
        <v>1975</v>
      </c>
      <c r="V69">
        <v>1879</v>
      </c>
      <c r="W69">
        <v>1776</v>
      </c>
      <c r="X69">
        <v>1783</v>
      </c>
      <c r="Y69">
        <v>1770</v>
      </c>
      <c r="Z69" s="88">
        <f t="shared" si="51"/>
        <v>1836.6</v>
      </c>
      <c r="AA69" s="88">
        <f t="shared" si="52"/>
        <v>1776.3333333333333</v>
      </c>
    </row>
    <row r="70" spans="1:27" x14ac:dyDescent="0.25">
      <c r="A70" s="51" t="s">
        <v>56</v>
      </c>
      <c r="B70">
        <v>283</v>
      </c>
      <c r="C70">
        <v>280</v>
      </c>
      <c r="D70" s="26">
        <v>278</v>
      </c>
      <c r="E70">
        <v>251</v>
      </c>
      <c r="F70">
        <v>243</v>
      </c>
      <c r="G70">
        <v>199</v>
      </c>
      <c r="H70">
        <v>288</v>
      </c>
      <c r="I70">
        <v>219</v>
      </c>
      <c r="J70">
        <v>211</v>
      </c>
      <c r="K70">
        <v>217</v>
      </c>
      <c r="L70">
        <v>203</v>
      </c>
      <c r="M70">
        <v>219</v>
      </c>
      <c r="N70">
        <v>242</v>
      </c>
      <c r="O70">
        <v>263</v>
      </c>
      <c r="P70">
        <v>306</v>
      </c>
      <c r="Q70">
        <v>377</v>
      </c>
      <c r="R70">
        <v>408</v>
      </c>
      <c r="S70">
        <v>390</v>
      </c>
      <c r="T70">
        <v>332</v>
      </c>
      <c r="U70">
        <v>274</v>
      </c>
      <c r="V70">
        <v>239</v>
      </c>
      <c r="W70">
        <v>224</v>
      </c>
      <c r="X70">
        <v>212</v>
      </c>
      <c r="Y70">
        <v>199</v>
      </c>
      <c r="Z70" s="88">
        <f t="shared" si="51"/>
        <v>229.6</v>
      </c>
      <c r="AA70" s="88">
        <f t="shared" si="52"/>
        <v>211.66666666666666</v>
      </c>
    </row>
    <row r="71" spans="1:27" ht="12" customHeight="1" x14ac:dyDescent="0.25">
      <c r="A71" s="51" t="s">
        <v>63</v>
      </c>
      <c r="B71">
        <v>459</v>
      </c>
      <c r="C71">
        <v>428</v>
      </c>
      <c r="D71" s="26">
        <v>399</v>
      </c>
      <c r="E71">
        <v>347</v>
      </c>
      <c r="F71">
        <v>307</v>
      </c>
      <c r="G71">
        <v>292</v>
      </c>
      <c r="H71">
        <v>306</v>
      </c>
      <c r="I71">
        <v>303</v>
      </c>
      <c r="J71">
        <v>307</v>
      </c>
      <c r="K71">
        <v>314</v>
      </c>
      <c r="L71">
        <v>316</v>
      </c>
      <c r="M71">
        <v>322</v>
      </c>
      <c r="N71">
        <v>300</v>
      </c>
      <c r="O71">
        <v>325</v>
      </c>
      <c r="P71">
        <v>396</v>
      </c>
      <c r="Q71">
        <v>414</v>
      </c>
      <c r="R71">
        <v>477</v>
      </c>
      <c r="S71">
        <v>466</v>
      </c>
      <c r="T71">
        <v>415</v>
      </c>
      <c r="U71">
        <v>380</v>
      </c>
      <c r="V71">
        <v>315</v>
      </c>
      <c r="W71">
        <v>253</v>
      </c>
      <c r="X71">
        <v>204</v>
      </c>
      <c r="Y71">
        <v>188</v>
      </c>
      <c r="Z71" s="88">
        <f t="shared" si="51"/>
        <v>268</v>
      </c>
      <c r="AA71" s="88">
        <f t="shared" si="52"/>
        <v>215</v>
      </c>
    </row>
    <row r="72" spans="1:27" s="6" customFormat="1" ht="12" customHeight="1" x14ac:dyDescent="0.25">
      <c r="A72" s="60" t="s">
        <v>75</v>
      </c>
      <c r="B72" s="6">
        <f t="shared" ref="B72:AA72" si="53">SUM(B68:B71)</f>
        <v>3596</v>
      </c>
      <c r="C72" s="6">
        <f t="shared" si="53"/>
        <v>3642</v>
      </c>
      <c r="D72" s="29">
        <f t="shared" si="53"/>
        <v>3752</v>
      </c>
      <c r="E72" s="6">
        <f t="shared" si="53"/>
        <v>3745</v>
      </c>
      <c r="F72" s="6">
        <f t="shared" si="53"/>
        <v>3883</v>
      </c>
      <c r="G72" s="6">
        <f t="shared" si="53"/>
        <v>3815</v>
      </c>
      <c r="H72" s="6">
        <f t="shared" si="53"/>
        <v>3975</v>
      </c>
      <c r="I72" s="6">
        <f t="shared" si="53"/>
        <v>3932</v>
      </c>
      <c r="J72" s="6">
        <f t="shared" si="53"/>
        <v>3704</v>
      </c>
      <c r="K72" s="6">
        <f t="shared" si="53"/>
        <v>3760</v>
      </c>
      <c r="L72" s="6">
        <f t="shared" si="53"/>
        <v>3800</v>
      </c>
      <c r="M72" s="6">
        <f t="shared" si="53"/>
        <v>3647</v>
      </c>
      <c r="N72" s="6">
        <f t="shared" si="53"/>
        <v>3626</v>
      </c>
      <c r="O72" s="6">
        <f t="shared" si="53"/>
        <v>3825</v>
      </c>
      <c r="P72" s="6">
        <f t="shared" si="53"/>
        <v>4062</v>
      </c>
      <c r="Q72" s="6">
        <f t="shared" ref="Q72" si="54">SUM(Q68:Q71)</f>
        <v>4355</v>
      </c>
      <c r="R72" s="6">
        <f t="shared" si="53"/>
        <v>4320</v>
      </c>
      <c r="S72" s="6">
        <f t="shared" si="53"/>
        <v>4068</v>
      </c>
      <c r="T72" s="6">
        <f t="shared" si="53"/>
        <v>3926</v>
      </c>
      <c r="U72" s="6">
        <f t="shared" ref="U72" si="55">SUM(U68:U71)</f>
        <v>3878</v>
      </c>
      <c r="V72" s="6">
        <f t="shared" si="53"/>
        <v>3632</v>
      </c>
      <c r="W72" s="6">
        <f t="shared" si="53"/>
        <v>3431</v>
      </c>
      <c r="X72" s="6">
        <f t="shared" si="53"/>
        <v>3499</v>
      </c>
      <c r="Y72" s="6">
        <f t="shared" si="53"/>
        <v>3572</v>
      </c>
      <c r="Z72" s="88">
        <f t="shared" si="53"/>
        <v>3602.4</v>
      </c>
      <c r="AA72" s="88">
        <f t="shared" si="53"/>
        <v>3500.6666666666665</v>
      </c>
    </row>
    <row r="73" spans="1:27" x14ac:dyDescent="0.25">
      <c r="D73" s="26"/>
    </row>
    <row r="74" spans="1:27" s="15" customFormat="1" x14ac:dyDescent="0.25">
      <c r="A74" s="28" t="s">
        <v>74</v>
      </c>
      <c r="B74" s="19"/>
      <c r="C74" s="19"/>
      <c r="D74" s="27"/>
      <c r="E74" s="19"/>
      <c r="F74" s="19"/>
      <c r="G74" s="19"/>
      <c r="H74" s="19"/>
      <c r="I74" s="19"/>
      <c r="J74" s="19"/>
      <c r="K74" s="19"/>
      <c r="L74" s="19"/>
      <c r="M74" s="19"/>
      <c r="N74" s="19"/>
      <c r="O74" s="19"/>
      <c r="P74" s="19"/>
      <c r="Q74" s="19"/>
      <c r="R74" s="19"/>
      <c r="S74" s="19"/>
      <c r="T74" s="19"/>
      <c r="U74" s="19"/>
      <c r="V74" s="21"/>
      <c r="W74" s="21"/>
      <c r="X74" s="21"/>
      <c r="Y74" s="21"/>
      <c r="Z74" s="21"/>
      <c r="AA74" s="21"/>
    </row>
    <row r="75" spans="1:27" s="20" customFormat="1" x14ac:dyDescent="0.25">
      <c r="A75" s="57" t="s">
        <v>54</v>
      </c>
      <c r="B75" s="20">
        <v>108</v>
      </c>
      <c r="C75" s="20">
        <v>131</v>
      </c>
      <c r="D75" s="24">
        <v>89</v>
      </c>
      <c r="E75" s="20">
        <v>79</v>
      </c>
      <c r="F75" s="20">
        <v>84</v>
      </c>
      <c r="G75" s="25">
        <v>84</v>
      </c>
      <c r="H75" s="25">
        <v>79</v>
      </c>
      <c r="I75" s="25">
        <v>95</v>
      </c>
      <c r="J75" s="25">
        <v>85</v>
      </c>
      <c r="K75" s="25">
        <v>54</v>
      </c>
      <c r="L75" s="25">
        <v>67</v>
      </c>
      <c r="M75" s="25">
        <v>127</v>
      </c>
      <c r="N75" s="25">
        <v>162</v>
      </c>
      <c r="O75" s="25">
        <v>177</v>
      </c>
      <c r="P75" s="73">
        <f>641-466</f>
        <v>175</v>
      </c>
      <c r="Q75" s="73">
        <v>173</v>
      </c>
      <c r="R75" s="73">
        <v>188</v>
      </c>
      <c r="S75" s="93">
        <v>209</v>
      </c>
      <c r="T75" s="93">
        <v>130</v>
      </c>
      <c r="U75" s="93">
        <v>156</v>
      </c>
      <c r="V75" s="93">
        <v>74</v>
      </c>
      <c r="W75" s="93">
        <v>73</v>
      </c>
      <c r="X75" s="93">
        <v>73</v>
      </c>
      <c r="Y75" s="93">
        <v>68</v>
      </c>
      <c r="Z75" s="88">
        <f t="shared" ref="Z75:Z78" si="56">SUM(U75:Y75)/5</f>
        <v>88.8</v>
      </c>
      <c r="AA75" s="88">
        <f t="shared" ref="AA75:AA78" si="57">SUM(W75:Y75)/3</f>
        <v>71.333333333333329</v>
      </c>
    </row>
    <row r="76" spans="1:27" x14ac:dyDescent="0.25">
      <c r="A76" s="51" t="s">
        <v>55</v>
      </c>
      <c r="B76">
        <v>381</v>
      </c>
      <c r="C76">
        <v>355</v>
      </c>
      <c r="D76" s="26">
        <v>365</v>
      </c>
      <c r="E76">
        <v>378</v>
      </c>
      <c r="F76">
        <v>384</v>
      </c>
      <c r="G76">
        <v>374</v>
      </c>
      <c r="H76">
        <v>416</v>
      </c>
      <c r="I76">
        <v>413</v>
      </c>
      <c r="J76">
        <v>426</v>
      </c>
      <c r="K76">
        <v>368</v>
      </c>
      <c r="L76">
        <v>394</v>
      </c>
      <c r="M76">
        <v>406</v>
      </c>
      <c r="N76">
        <v>418</v>
      </c>
      <c r="O76">
        <v>343</v>
      </c>
      <c r="P76">
        <v>365</v>
      </c>
      <c r="Q76">
        <v>363</v>
      </c>
      <c r="R76">
        <v>400</v>
      </c>
      <c r="S76">
        <v>361</v>
      </c>
      <c r="T76">
        <v>362</v>
      </c>
      <c r="U76">
        <v>347</v>
      </c>
      <c r="V76">
        <v>307</v>
      </c>
      <c r="W76">
        <v>300</v>
      </c>
      <c r="X76">
        <v>287</v>
      </c>
      <c r="Y76">
        <v>237</v>
      </c>
      <c r="Z76" s="88">
        <f t="shared" si="56"/>
        <v>295.60000000000002</v>
      </c>
      <c r="AA76" s="88">
        <f t="shared" si="57"/>
        <v>274.66666666666669</v>
      </c>
    </row>
    <row r="77" spans="1:27" x14ac:dyDescent="0.25">
      <c r="A77" s="51" t="s">
        <v>56</v>
      </c>
      <c r="B77">
        <v>234</v>
      </c>
      <c r="C77">
        <v>247</v>
      </c>
      <c r="D77" s="26">
        <v>217</v>
      </c>
      <c r="E77">
        <v>223</v>
      </c>
      <c r="F77">
        <v>179</v>
      </c>
      <c r="G77">
        <v>190</v>
      </c>
      <c r="H77">
        <v>191</v>
      </c>
      <c r="I77">
        <v>209</v>
      </c>
      <c r="J77">
        <v>156</v>
      </c>
      <c r="K77">
        <v>177</v>
      </c>
      <c r="L77">
        <v>186</v>
      </c>
      <c r="M77">
        <v>189</v>
      </c>
      <c r="N77">
        <v>192</v>
      </c>
      <c r="O77">
        <v>189</v>
      </c>
      <c r="P77">
        <v>204</v>
      </c>
      <c r="Q77">
        <v>222</v>
      </c>
      <c r="R77">
        <v>229</v>
      </c>
      <c r="S77">
        <v>214</v>
      </c>
      <c r="T77">
        <v>179</v>
      </c>
      <c r="U77">
        <v>165</v>
      </c>
      <c r="V77">
        <v>152</v>
      </c>
      <c r="W77">
        <v>145</v>
      </c>
      <c r="X77">
        <v>133</v>
      </c>
      <c r="Y77">
        <v>122</v>
      </c>
      <c r="Z77" s="88">
        <f t="shared" si="56"/>
        <v>143.4</v>
      </c>
      <c r="AA77" s="88">
        <f t="shared" si="57"/>
        <v>133.33333333333334</v>
      </c>
    </row>
    <row r="78" spans="1:27" ht="12" customHeight="1" x14ac:dyDescent="0.25">
      <c r="A78" s="51" t="s">
        <v>63</v>
      </c>
      <c r="B78">
        <v>752</v>
      </c>
      <c r="C78">
        <v>643</v>
      </c>
      <c r="D78" s="26">
        <v>632</v>
      </c>
      <c r="E78">
        <v>646</v>
      </c>
      <c r="F78">
        <v>582</v>
      </c>
      <c r="G78">
        <v>568</v>
      </c>
      <c r="H78">
        <v>497</v>
      </c>
      <c r="I78">
        <v>484</v>
      </c>
      <c r="J78">
        <v>453</v>
      </c>
      <c r="K78">
        <v>441</v>
      </c>
      <c r="L78">
        <v>444</v>
      </c>
      <c r="M78">
        <v>435</v>
      </c>
      <c r="N78">
        <v>420</v>
      </c>
      <c r="O78">
        <v>414</v>
      </c>
      <c r="P78">
        <v>382</v>
      </c>
      <c r="Q78">
        <v>483</v>
      </c>
      <c r="R78">
        <v>435</v>
      </c>
      <c r="S78">
        <v>446</v>
      </c>
      <c r="T78">
        <v>413</v>
      </c>
      <c r="U78">
        <v>426</v>
      </c>
      <c r="V78">
        <v>378</v>
      </c>
      <c r="W78">
        <v>302</v>
      </c>
      <c r="X78">
        <v>279</v>
      </c>
      <c r="Y78">
        <v>209</v>
      </c>
      <c r="Z78" s="88">
        <f t="shared" si="56"/>
        <v>318.8</v>
      </c>
      <c r="AA78" s="88">
        <f t="shared" si="57"/>
        <v>263.33333333333331</v>
      </c>
    </row>
    <row r="79" spans="1:27" s="6" customFormat="1" ht="12" customHeight="1" x14ac:dyDescent="0.25">
      <c r="A79" s="60" t="s">
        <v>76</v>
      </c>
      <c r="B79" s="6">
        <f t="shared" ref="B79:L79" si="58">SUM(B75:B78)</f>
        <v>1475</v>
      </c>
      <c r="C79" s="6">
        <f t="shared" si="58"/>
        <v>1376</v>
      </c>
      <c r="D79" s="29">
        <f t="shared" si="58"/>
        <v>1303</v>
      </c>
      <c r="E79" s="6">
        <f t="shared" si="58"/>
        <v>1326</v>
      </c>
      <c r="F79" s="6">
        <f t="shared" si="58"/>
        <v>1229</v>
      </c>
      <c r="G79" s="6">
        <f t="shared" si="58"/>
        <v>1216</v>
      </c>
      <c r="H79" s="6">
        <f t="shared" si="58"/>
        <v>1183</v>
      </c>
      <c r="I79" s="6">
        <f t="shared" si="58"/>
        <v>1201</v>
      </c>
      <c r="J79" s="6">
        <f t="shared" si="58"/>
        <v>1120</v>
      </c>
      <c r="K79" s="6">
        <f t="shared" si="58"/>
        <v>1040</v>
      </c>
      <c r="L79" s="6">
        <f t="shared" si="58"/>
        <v>1091</v>
      </c>
      <c r="M79" s="6">
        <f t="shared" ref="M79:AA79" si="59">SUM(M75:M78)</f>
        <v>1157</v>
      </c>
      <c r="N79" s="6">
        <f t="shared" si="59"/>
        <v>1192</v>
      </c>
      <c r="O79" s="6">
        <f t="shared" si="59"/>
        <v>1123</v>
      </c>
      <c r="P79" s="6">
        <f t="shared" si="59"/>
        <v>1126</v>
      </c>
      <c r="Q79" s="6">
        <f t="shared" ref="Q79" si="60">SUM(Q75:Q78)</f>
        <v>1241</v>
      </c>
      <c r="R79" s="6">
        <f t="shared" si="59"/>
        <v>1252</v>
      </c>
      <c r="S79" s="6">
        <f t="shared" si="59"/>
        <v>1230</v>
      </c>
      <c r="T79" s="6">
        <f t="shared" si="59"/>
        <v>1084</v>
      </c>
      <c r="U79" s="6">
        <f t="shared" ref="U79" si="61">SUM(U75:U78)</f>
        <v>1094</v>
      </c>
      <c r="V79" s="6">
        <f t="shared" si="59"/>
        <v>911</v>
      </c>
      <c r="W79" s="6">
        <f t="shared" si="59"/>
        <v>820</v>
      </c>
      <c r="X79" s="6">
        <f t="shared" si="59"/>
        <v>772</v>
      </c>
      <c r="Y79" s="6">
        <f t="shared" si="59"/>
        <v>636</v>
      </c>
      <c r="Z79" s="18">
        <f t="shared" si="59"/>
        <v>846.60000000000014</v>
      </c>
      <c r="AA79" s="18">
        <f t="shared" si="59"/>
        <v>742.66666666666674</v>
      </c>
    </row>
    <row r="81" spans="1:7" x14ac:dyDescent="0.25">
      <c r="A81" s="51" t="s">
        <v>78</v>
      </c>
    </row>
    <row r="85" spans="1:7" x14ac:dyDescent="0.25">
      <c r="A85" s="112" t="s">
        <v>177</v>
      </c>
      <c r="B85" s="113"/>
      <c r="C85" s="113"/>
      <c r="D85" s="113"/>
      <c r="E85" s="113"/>
      <c r="F85" s="113"/>
      <c r="G85" s="113"/>
    </row>
    <row r="86" spans="1:7" x14ac:dyDescent="0.25">
      <c r="A86" s="58" t="s">
        <v>153</v>
      </c>
    </row>
    <row r="87" spans="1:7" x14ac:dyDescent="0.25">
      <c r="A87" s="58" t="s">
        <v>154</v>
      </c>
    </row>
  </sheetData>
  <mergeCells count="1">
    <mergeCell ref="A85:G85"/>
  </mergeCells>
  <phoneticPr fontId="0" type="noConversion"/>
  <pageMargins left="0.22" right="0.23" top="0.54" bottom="0.35" header="0.5" footer="0.28000000000000003"/>
  <pageSetup scale="90" fitToHeight="2" orientation="landscape" r:id="rId1"/>
  <headerFooter alignWithMargins="0">
    <oddFooter>&amp;RPage &amp;P</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2"/>
  <sheetViews>
    <sheetView workbookViewId="0"/>
  </sheetViews>
  <sheetFormatPr defaultRowHeight="13.2" x14ac:dyDescent="0.25"/>
  <cols>
    <col min="1" max="1" width="19" customWidth="1"/>
    <col min="2" max="7" width="11" customWidth="1"/>
    <col min="8" max="8" width="11" style="26" customWidth="1"/>
    <col min="9" max="10" width="11" customWidth="1"/>
    <col min="11" max="12" width="11.5546875" customWidth="1"/>
    <col min="13" max="13" width="11" customWidth="1"/>
    <col min="14" max="14" width="11.6640625" customWidth="1"/>
    <col min="15" max="16" width="11" customWidth="1"/>
    <col min="17" max="17" width="10.88671875" customWidth="1"/>
    <col min="18" max="18" width="10.77734375" customWidth="1"/>
    <col min="19" max="19" width="10.88671875" customWidth="1"/>
    <col min="20" max="20" width="11.21875" customWidth="1"/>
    <col min="21" max="21" width="10.88671875" customWidth="1"/>
    <col min="22" max="22" width="11.5546875" customWidth="1"/>
    <col min="23" max="23" width="12.109375" customWidth="1"/>
  </cols>
  <sheetData>
    <row r="2" spans="1:23" x14ac:dyDescent="0.25">
      <c r="A2" s="50" t="s">
        <v>101</v>
      </c>
    </row>
    <row r="4" spans="1:23" ht="26.4" x14ac:dyDescent="0.25">
      <c r="B4" s="10" t="s">
        <v>79</v>
      </c>
      <c r="C4" s="10" t="s">
        <v>81</v>
      </c>
      <c r="D4" s="10" t="s">
        <v>83</v>
      </c>
      <c r="E4" s="10" t="s">
        <v>85</v>
      </c>
      <c r="F4" s="10" t="s">
        <v>87</v>
      </c>
      <c r="G4" s="10" t="s">
        <v>89</v>
      </c>
      <c r="H4" s="31" t="s">
        <v>91</v>
      </c>
      <c r="I4" s="10" t="s">
        <v>93</v>
      </c>
      <c r="J4" s="10" t="s">
        <v>95</v>
      </c>
      <c r="K4" s="10" t="s">
        <v>97</v>
      </c>
      <c r="L4" s="10" t="s">
        <v>109</v>
      </c>
      <c r="M4" s="10" t="s">
        <v>116</v>
      </c>
      <c r="N4" s="31" t="s">
        <v>126</v>
      </c>
      <c r="O4" s="31" t="s">
        <v>134</v>
      </c>
      <c r="P4" s="89" t="s">
        <v>142</v>
      </c>
      <c r="Q4" s="89" t="s">
        <v>146</v>
      </c>
      <c r="R4" s="89" t="s">
        <v>148</v>
      </c>
      <c r="S4" s="89" t="s">
        <v>158</v>
      </c>
      <c r="T4" s="89" t="s">
        <v>168</v>
      </c>
      <c r="U4" s="89" t="s">
        <v>171</v>
      </c>
      <c r="V4" s="89" t="s">
        <v>179</v>
      </c>
      <c r="W4" s="89" t="s">
        <v>180</v>
      </c>
    </row>
    <row r="5" spans="1:23" s="22" customFormat="1" x14ac:dyDescent="0.25">
      <c r="A5" s="37"/>
      <c r="B5" s="38" t="s">
        <v>80</v>
      </c>
      <c r="C5" s="38" t="s">
        <v>82</v>
      </c>
      <c r="D5" s="38" t="s">
        <v>84</v>
      </c>
      <c r="E5" s="38" t="s">
        <v>86</v>
      </c>
      <c r="F5" s="38" t="s">
        <v>88</v>
      </c>
      <c r="G5" s="38" t="s">
        <v>90</v>
      </c>
      <c r="H5" s="39" t="s">
        <v>92</v>
      </c>
      <c r="I5" s="38" t="s">
        <v>94</v>
      </c>
      <c r="J5" s="38" t="s">
        <v>96</v>
      </c>
      <c r="K5" s="38" t="s">
        <v>98</v>
      </c>
      <c r="L5" s="38" t="s">
        <v>110</v>
      </c>
      <c r="M5" s="38" t="s">
        <v>117</v>
      </c>
      <c r="N5" s="39" t="s">
        <v>127</v>
      </c>
      <c r="O5" s="39" t="s">
        <v>135</v>
      </c>
      <c r="P5" s="90" t="s">
        <v>143</v>
      </c>
      <c r="Q5" s="90" t="s">
        <v>147</v>
      </c>
      <c r="R5" s="90" t="s">
        <v>149</v>
      </c>
      <c r="S5" s="90" t="s">
        <v>159</v>
      </c>
      <c r="T5" s="90" t="s">
        <v>169</v>
      </c>
      <c r="U5" s="90" t="s">
        <v>172</v>
      </c>
      <c r="V5" s="90" t="s">
        <v>181</v>
      </c>
      <c r="W5" s="90" t="s">
        <v>182</v>
      </c>
    </row>
    <row r="6" spans="1:23" s="30" customFormat="1" x14ac:dyDescent="0.25">
      <c r="A6" s="30" t="s">
        <v>102</v>
      </c>
      <c r="B6" s="30">
        <v>806</v>
      </c>
      <c r="C6" s="30">
        <v>794</v>
      </c>
      <c r="D6" s="30">
        <v>928</v>
      </c>
      <c r="E6" s="30">
        <v>912</v>
      </c>
      <c r="F6" s="30">
        <v>922</v>
      </c>
      <c r="G6" s="30">
        <v>962</v>
      </c>
      <c r="H6" s="32">
        <v>984</v>
      </c>
      <c r="I6" s="30">
        <v>996</v>
      </c>
      <c r="J6" s="30">
        <v>988</v>
      </c>
      <c r="K6" s="30">
        <v>908</v>
      </c>
      <c r="L6" s="30">
        <v>1079</v>
      </c>
      <c r="M6" s="30">
        <v>1130</v>
      </c>
      <c r="N6" s="99">
        <v>995</v>
      </c>
      <c r="O6" s="30">
        <v>1021</v>
      </c>
      <c r="P6" s="30">
        <v>1005</v>
      </c>
      <c r="Q6" s="30">
        <v>940</v>
      </c>
      <c r="R6" s="30">
        <v>937</v>
      </c>
      <c r="S6" s="30">
        <v>957</v>
      </c>
      <c r="T6" s="30">
        <v>1004</v>
      </c>
      <c r="U6" s="30">
        <v>1086</v>
      </c>
      <c r="V6" s="30">
        <v>962</v>
      </c>
      <c r="W6" s="30">
        <v>885</v>
      </c>
    </row>
    <row r="7" spans="1:23" x14ac:dyDescent="0.25">
      <c r="A7" t="s">
        <v>103</v>
      </c>
      <c r="B7" s="30">
        <v>79</v>
      </c>
      <c r="C7" s="30">
        <v>85</v>
      </c>
      <c r="D7" s="30">
        <v>88</v>
      </c>
      <c r="E7" s="30">
        <v>121</v>
      </c>
      <c r="F7" s="30">
        <v>107</v>
      </c>
      <c r="G7" s="30">
        <v>121</v>
      </c>
      <c r="H7" s="32">
        <v>153</v>
      </c>
      <c r="I7" s="30">
        <v>141</v>
      </c>
      <c r="J7" s="30">
        <v>124</v>
      </c>
      <c r="K7" s="30">
        <v>95</v>
      </c>
      <c r="L7" s="30">
        <v>158</v>
      </c>
      <c r="M7" s="30">
        <v>157</v>
      </c>
      <c r="N7" s="30">
        <v>124</v>
      </c>
      <c r="O7" s="30">
        <v>123</v>
      </c>
      <c r="P7" s="30">
        <f>109+6+4</f>
        <v>119</v>
      </c>
      <c r="Q7" s="92">
        <f>102+8+3</f>
        <v>113</v>
      </c>
      <c r="R7">
        <v>142</v>
      </c>
      <c r="S7" s="92">
        <v>156</v>
      </c>
      <c r="T7" s="92">
        <v>142</v>
      </c>
      <c r="U7" s="92">
        <v>162</v>
      </c>
      <c r="V7" s="92">
        <v>137</v>
      </c>
      <c r="W7" s="92">
        <v>148</v>
      </c>
    </row>
    <row r="8" spans="1:23" x14ac:dyDescent="0.25">
      <c r="A8" t="s">
        <v>104</v>
      </c>
      <c r="B8" s="30">
        <v>102</v>
      </c>
      <c r="C8" s="30">
        <v>92</v>
      </c>
      <c r="D8" s="30">
        <v>108</v>
      </c>
      <c r="E8" s="30">
        <v>107</v>
      </c>
      <c r="F8" s="30">
        <v>119</v>
      </c>
      <c r="G8" s="30">
        <v>111</v>
      </c>
      <c r="H8" s="32">
        <v>159</v>
      </c>
      <c r="I8" s="30">
        <v>173</v>
      </c>
      <c r="J8" s="30">
        <v>122</v>
      </c>
      <c r="K8" s="30">
        <v>112</v>
      </c>
      <c r="L8" s="30">
        <v>141</v>
      </c>
      <c r="M8" s="30">
        <v>142</v>
      </c>
      <c r="N8" s="30">
        <v>126</v>
      </c>
      <c r="O8" s="30">
        <v>139</v>
      </c>
      <c r="P8" s="30">
        <f>108+1</f>
        <v>109</v>
      </c>
      <c r="Q8">
        <f>127+4</f>
        <v>131</v>
      </c>
      <c r="R8" s="30">
        <v>129</v>
      </c>
      <c r="S8" s="30">
        <v>126</v>
      </c>
      <c r="T8" s="30">
        <v>112</v>
      </c>
      <c r="U8" s="30">
        <v>124</v>
      </c>
      <c r="V8" s="30">
        <v>111</v>
      </c>
      <c r="W8" s="30">
        <v>110</v>
      </c>
    </row>
    <row r="9" spans="1:23" x14ac:dyDescent="0.25">
      <c r="A9" t="s">
        <v>105</v>
      </c>
      <c r="B9" s="30">
        <v>33</v>
      </c>
      <c r="C9" s="30">
        <v>39</v>
      </c>
      <c r="D9" s="30">
        <v>38</v>
      </c>
      <c r="E9" s="30">
        <v>44</v>
      </c>
      <c r="F9" s="30">
        <v>46</v>
      </c>
      <c r="G9" s="30">
        <v>48</v>
      </c>
      <c r="H9" s="32">
        <v>26</v>
      </c>
      <c r="I9" s="30">
        <v>38</v>
      </c>
      <c r="J9" s="30">
        <v>58</v>
      </c>
      <c r="K9" s="30">
        <v>41</v>
      </c>
      <c r="L9" s="30">
        <v>40</v>
      </c>
      <c r="M9" s="30">
        <v>35</v>
      </c>
      <c r="N9" s="30">
        <v>34</v>
      </c>
      <c r="O9" s="30">
        <v>50</v>
      </c>
      <c r="P9" s="30">
        <f>51+1</f>
        <v>52</v>
      </c>
      <c r="Q9" s="30">
        <v>53</v>
      </c>
      <c r="R9" s="30">
        <v>54</v>
      </c>
      <c r="S9" s="30">
        <v>62</v>
      </c>
      <c r="T9" s="30">
        <v>52</v>
      </c>
      <c r="U9" s="30">
        <v>52</v>
      </c>
      <c r="V9" s="30">
        <v>37</v>
      </c>
      <c r="W9" s="30">
        <v>43</v>
      </c>
    </row>
    <row r="11" spans="1:23" s="6" customFormat="1" ht="14.1" customHeight="1" x14ac:dyDescent="0.25">
      <c r="A11" s="6" t="s">
        <v>100</v>
      </c>
      <c r="B11" s="35">
        <f>SUM(B7:B9)</f>
        <v>214</v>
      </c>
      <c r="C11" s="35">
        <f>SUM(C7:C9)</f>
        <v>216</v>
      </c>
      <c r="D11" s="35">
        <f t="shared" ref="D11:O11" si="0">SUM(D7:D9)</f>
        <v>234</v>
      </c>
      <c r="E11" s="35">
        <f t="shared" si="0"/>
        <v>272</v>
      </c>
      <c r="F11" s="35">
        <f t="shared" si="0"/>
        <v>272</v>
      </c>
      <c r="G11" s="35">
        <f t="shared" si="0"/>
        <v>280</v>
      </c>
      <c r="H11" s="36">
        <f t="shared" si="0"/>
        <v>338</v>
      </c>
      <c r="I11" s="35">
        <f t="shared" si="0"/>
        <v>352</v>
      </c>
      <c r="J11" s="35">
        <f t="shared" si="0"/>
        <v>304</v>
      </c>
      <c r="K11" s="35">
        <f t="shared" si="0"/>
        <v>248</v>
      </c>
      <c r="L11" s="66">
        <f t="shared" si="0"/>
        <v>339</v>
      </c>
      <c r="M11" s="36">
        <f t="shared" si="0"/>
        <v>334</v>
      </c>
      <c r="N11" s="36">
        <f t="shared" si="0"/>
        <v>284</v>
      </c>
      <c r="O11" s="66">
        <f t="shared" si="0"/>
        <v>312</v>
      </c>
      <c r="P11" s="35">
        <f t="shared" ref="P11:W11" si="1">SUM(P7:P9)</f>
        <v>280</v>
      </c>
      <c r="Q11" s="35">
        <f t="shared" si="1"/>
        <v>297</v>
      </c>
      <c r="R11" s="35">
        <f t="shared" si="1"/>
        <v>325</v>
      </c>
      <c r="S11" s="35">
        <f t="shared" si="1"/>
        <v>344</v>
      </c>
      <c r="T11" s="35">
        <f t="shared" si="1"/>
        <v>306</v>
      </c>
      <c r="U11" s="35">
        <f t="shared" si="1"/>
        <v>338</v>
      </c>
      <c r="V11" s="35">
        <f t="shared" si="1"/>
        <v>285</v>
      </c>
      <c r="W11" s="35">
        <f t="shared" si="1"/>
        <v>301</v>
      </c>
    </row>
    <row r="12" spans="1:23" x14ac:dyDescent="0.25">
      <c r="B12" s="30"/>
      <c r="C12" s="30"/>
      <c r="D12" s="30"/>
      <c r="E12" s="30"/>
      <c r="F12" s="30"/>
      <c r="G12" s="30"/>
      <c r="H12" s="32"/>
      <c r="I12" s="30"/>
      <c r="J12" s="30"/>
      <c r="L12" s="67"/>
      <c r="N12" s="26"/>
      <c r="O12" s="80"/>
    </row>
    <row r="13" spans="1:23" x14ac:dyDescent="0.25">
      <c r="A13" t="s">
        <v>106</v>
      </c>
      <c r="L13" s="68"/>
      <c r="M13" s="48"/>
      <c r="N13" s="26"/>
      <c r="O13" s="1"/>
    </row>
    <row r="14" spans="1:23" x14ac:dyDescent="0.25">
      <c r="A14" t="s">
        <v>107</v>
      </c>
      <c r="B14" s="2">
        <f>B11/B6</f>
        <v>0.26550868486352358</v>
      </c>
      <c r="C14" s="2">
        <f>C11/C6</f>
        <v>0.27204030226700254</v>
      </c>
      <c r="D14" s="2">
        <f t="shared" ref="D14:O14" si="2">D11/D6</f>
        <v>0.25215517241379309</v>
      </c>
      <c r="E14" s="2">
        <f t="shared" si="2"/>
        <v>0.2982456140350877</v>
      </c>
      <c r="F14" s="2">
        <f t="shared" si="2"/>
        <v>0.29501084598698479</v>
      </c>
      <c r="G14" s="2">
        <f t="shared" si="2"/>
        <v>0.29106029106029108</v>
      </c>
      <c r="H14" s="33">
        <f t="shared" si="2"/>
        <v>0.3434959349593496</v>
      </c>
      <c r="I14" s="2">
        <f t="shared" si="2"/>
        <v>0.3534136546184739</v>
      </c>
      <c r="J14" s="2">
        <f t="shared" si="2"/>
        <v>0.30769230769230771</v>
      </c>
      <c r="K14" s="2">
        <f t="shared" si="2"/>
        <v>0.27312775330396477</v>
      </c>
      <c r="L14" s="33">
        <f t="shared" si="2"/>
        <v>0.31417979610750696</v>
      </c>
      <c r="M14" s="33">
        <f t="shared" si="2"/>
        <v>0.29557522123893804</v>
      </c>
      <c r="N14" s="33">
        <f t="shared" si="2"/>
        <v>0.28542713567839195</v>
      </c>
      <c r="O14" s="91">
        <f t="shared" si="2"/>
        <v>0.30558276199804113</v>
      </c>
      <c r="P14" s="91">
        <f t="shared" ref="P14:W14" si="3">P11/P6</f>
        <v>0.27860696517412936</v>
      </c>
      <c r="Q14" s="91">
        <f t="shared" si="3"/>
        <v>0.31595744680851062</v>
      </c>
      <c r="R14" s="91">
        <f t="shared" si="3"/>
        <v>0.34685165421558162</v>
      </c>
      <c r="S14" s="91">
        <f t="shared" si="3"/>
        <v>0.35945663531870431</v>
      </c>
      <c r="T14" s="91">
        <f t="shared" si="3"/>
        <v>0.30478087649402391</v>
      </c>
      <c r="U14" s="91">
        <f t="shared" si="3"/>
        <v>0.31123388581952116</v>
      </c>
      <c r="V14" s="91">
        <f t="shared" si="3"/>
        <v>0.29625779625779625</v>
      </c>
      <c r="W14" s="91">
        <f t="shared" si="3"/>
        <v>0.34011299435028247</v>
      </c>
    </row>
    <row r="15" spans="1:23" s="13" customFormat="1" x14ac:dyDescent="0.25">
      <c r="A15" s="13" t="s">
        <v>111</v>
      </c>
      <c r="B15" s="13">
        <v>0.27</v>
      </c>
      <c r="C15" s="13">
        <v>0.27</v>
      </c>
      <c r="D15" s="13">
        <v>0.26</v>
      </c>
      <c r="E15" s="13">
        <v>0.28999999999999998</v>
      </c>
      <c r="F15" s="13">
        <v>0.28000000000000003</v>
      </c>
      <c r="G15" s="13">
        <v>0.28999999999999998</v>
      </c>
      <c r="H15" s="34">
        <v>0.34</v>
      </c>
      <c r="I15" s="13">
        <v>0.37</v>
      </c>
      <c r="J15" s="13">
        <v>0.31</v>
      </c>
      <c r="K15" s="13">
        <v>0.27</v>
      </c>
      <c r="L15" s="13">
        <v>0.31</v>
      </c>
      <c r="M15" s="13">
        <v>0.28999999999999998</v>
      </c>
      <c r="N15" s="100">
        <v>0.28000000000000003</v>
      </c>
      <c r="O15" s="13">
        <v>0.3</v>
      </c>
      <c r="P15" s="13">
        <f>277/1005</f>
        <v>0.27562189054726366</v>
      </c>
      <c r="Q15" s="13">
        <f>289/936</f>
        <v>0.30876068376068377</v>
      </c>
      <c r="R15" s="13">
        <f>319/935</f>
        <v>0.3411764705882353</v>
      </c>
      <c r="S15" s="13">
        <f>341/956</f>
        <v>0.35669456066945604</v>
      </c>
      <c r="T15" s="13">
        <f>302/1004</f>
        <v>0.30079681274900399</v>
      </c>
      <c r="U15" s="13">
        <f>335/1083</f>
        <v>0.30932594644506001</v>
      </c>
      <c r="V15" s="13">
        <v>0.28999999999999998</v>
      </c>
      <c r="W15" s="13">
        <v>0.34</v>
      </c>
    </row>
    <row r="16" spans="1:23" s="13" customFormat="1" x14ac:dyDescent="0.25">
      <c r="A16" s="13" t="s">
        <v>113</v>
      </c>
      <c r="D16" s="13">
        <v>0.25</v>
      </c>
      <c r="E16" s="13">
        <v>0.28999999999999998</v>
      </c>
      <c r="F16" s="13">
        <v>0.28000000000000003</v>
      </c>
      <c r="G16" s="13">
        <v>0.28000000000000003</v>
      </c>
      <c r="H16" s="34">
        <v>0.33</v>
      </c>
      <c r="I16" s="13">
        <v>0.35</v>
      </c>
      <c r="J16" s="13">
        <v>0.33</v>
      </c>
      <c r="K16" s="13">
        <v>0.26</v>
      </c>
      <c r="L16" s="13">
        <v>0.31</v>
      </c>
      <c r="M16" s="13">
        <v>0.27</v>
      </c>
      <c r="N16" s="34">
        <v>0.27</v>
      </c>
      <c r="O16" s="13">
        <v>0.3</v>
      </c>
      <c r="P16" s="13">
        <f>271/1005</f>
        <v>0.26965174129353237</v>
      </c>
      <c r="Q16" s="13">
        <f>281/936</f>
        <v>0.3002136752136752</v>
      </c>
      <c r="R16" s="13">
        <f>307/935</f>
        <v>0.32834224598930484</v>
      </c>
      <c r="S16" s="13">
        <f>332/956</f>
        <v>0.34728033472803349</v>
      </c>
      <c r="T16" s="13">
        <f>291/999</f>
        <v>0.29129129129129128</v>
      </c>
      <c r="U16" s="13">
        <f>320/1083</f>
        <v>0.29547553093259465</v>
      </c>
      <c r="V16" s="13">
        <f>274/960</f>
        <v>0.28541666666666665</v>
      </c>
      <c r="W16" s="13">
        <f>293/882</f>
        <v>0.33219954648526079</v>
      </c>
    </row>
    <row r="17" spans="1:23" s="13" customFormat="1" x14ac:dyDescent="0.25">
      <c r="A17" s="13" t="s">
        <v>114</v>
      </c>
      <c r="B17" s="13">
        <v>0.31</v>
      </c>
      <c r="C17" s="13">
        <v>0.28999999999999998</v>
      </c>
      <c r="D17" s="13">
        <v>0.27</v>
      </c>
      <c r="E17" s="13">
        <v>0.34</v>
      </c>
      <c r="F17" s="13">
        <v>0.35</v>
      </c>
      <c r="G17" s="13">
        <v>0.34</v>
      </c>
      <c r="H17" s="34">
        <v>0.4</v>
      </c>
      <c r="I17" s="13">
        <v>0.41</v>
      </c>
      <c r="J17" s="13">
        <v>0.37</v>
      </c>
      <c r="K17" s="96">
        <v>0.34</v>
      </c>
      <c r="L17" s="96">
        <v>0.43</v>
      </c>
      <c r="M17" s="96">
        <v>0.36099999999999999</v>
      </c>
      <c r="N17" s="96">
        <v>0.34</v>
      </c>
      <c r="O17" s="13">
        <v>0.34</v>
      </c>
      <c r="P17" s="13">
        <v>0.31</v>
      </c>
      <c r="Q17" s="13">
        <v>0.36</v>
      </c>
      <c r="R17" s="119">
        <v>0.39</v>
      </c>
      <c r="S17" s="119">
        <v>0.4</v>
      </c>
      <c r="T17" s="98"/>
    </row>
    <row r="18" spans="1:23" s="13" customFormat="1" x14ac:dyDescent="0.25">
      <c r="H18" s="34"/>
    </row>
    <row r="19" spans="1:23" s="51" customFormat="1" x14ac:dyDescent="0.25">
      <c r="A19" s="76" t="s">
        <v>136</v>
      </c>
      <c r="B19" s="76"/>
      <c r="C19" s="76"/>
      <c r="D19" s="76"/>
      <c r="E19" s="76"/>
      <c r="F19" s="76">
        <v>0.28000000000000003</v>
      </c>
      <c r="G19" s="76">
        <v>0.27</v>
      </c>
      <c r="H19" s="77">
        <v>0.31</v>
      </c>
      <c r="I19" s="76">
        <v>0.31</v>
      </c>
      <c r="J19" s="76">
        <v>0.28999999999999998</v>
      </c>
      <c r="K19" s="76">
        <v>0.32</v>
      </c>
      <c r="L19" s="76">
        <v>0.31</v>
      </c>
      <c r="M19" s="76">
        <v>0.31</v>
      </c>
      <c r="N19" s="101">
        <v>0.3</v>
      </c>
      <c r="O19" s="76">
        <v>0.28999999999999998</v>
      </c>
      <c r="P19" s="76">
        <f>280/1005</f>
        <v>0.27860696517412936</v>
      </c>
      <c r="Q19" s="76">
        <v>0.32</v>
      </c>
      <c r="R19" s="56">
        <f>276/935</f>
        <v>0.29518716577540105</v>
      </c>
      <c r="S19" s="56">
        <v>0.27</v>
      </c>
      <c r="T19" s="56">
        <v>0.31</v>
      </c>
      <c r="U19" s="56">
        <v>0.28999999999999998</v>
      </c>
      <c r="V19" s="56">
        <v>0.3</v>
      </c>
      <c r="W19" s="56">
        <v>0.26</v>
      </c>
    </row>
    <row r="20" spans="1:23" s="51" customFormat="1" x14ac:dyDescent="0.25">
      <c r="A20" s="76"/>
      <c r="B20" s="76"/>
      <c r="C20" s="76"/>
      <c r="D20" s="76"/>
      <c r="E20" s="76"/>
      <c r="F20" s="76"/>
      <c r="G20" s="76"/>
      <c r="H20" s="77"/>
      <c r="I20" s="76"/>
      <c r="J20" s="76"/>
      <c r="K20" s="76"/>
      <c r="L20" s="76"/>
      <c r="M20" s="76"/>
      <c r="N20" s="76"/>
      <c r="O20" s="76"/>
      <c r="P20" s="76"/>
    </row>
    <row r="21" spans="1:23" s="13" customFormat="1" x14ac:dyDescent="0.25">
      <c r="A21" s="49" t="s">
        <v>99</v>
      </c>
      <c r="B21" s="13">
        <v>0.05</v>
      </c>
      <c r="C21" s="13">
        <v>0.06</v>
      </c>
      <c r="D21" s="13">
        <v>0.05</v>
      </c>
      <c r="E21" s="13">
        <v>5.5E-2</v>
      </c>
      <c r="F21" s="13">
        <v>3.5999999999999997E-2</v>
      </c>
      <c r="G21" s="13">
        <v>5.5E-2</v>
      </c>
      <c r="H21" s="34">
        <v>0.03</v>
      </c>
      <c r="I21" s="13">
        <v>0.04</v>
      </c>
      <c r="J21" s="13">
        <v>0.03</v>
      </c>
      <c r="K21" s="13">
        <v>0.06</v>
      </c>
      <c r="L21" s="13">
        <v>0.05</v>
      </c>
      <c r="M21" s="13">
        <v>0.08</v>
      </c>
      <c r="N21" s="13">
        <v>4.4999999999999998E-2</v>
      </c>
      <c r="O21" s="13">
        <v>0.06</v>
      </c>
      <c r="P21" s="13">
        <f>59/1005</f>
        <v>5.870646766169154E-2</v>
      </c>
      <c r="Q21" s="13">
        <f>40/936</f>
        <v>4.2735042735042736E-2</v>
      </c>
      <c r="R21" s="13">
        <f>48/935</f>
        <v>5.1336898395721926E-2</v>
      </c>
      <c r="S21" s="13">
        <f>49/956</f>
        <v>5.1255230125523014E-2</v>
      </c>
      <c r="T21" s="96">
        <f>46/1004</f>
        <v>4.5816733067729085E-2</v>
      </c>
      <c r="U21" s="96">
        <f>44/1083</f>
        <v>4.0627885503231764E-2</v>
      </c>
      <c r="V21" s="96">
        <f>44/960</f>
        <v>4.583333333333333E-2</v>
      </c>
      <c r="W21" s="13">
        <f>39/882</f>
        <v>4.4217687074829932E-2</v>
      </c>
    </row>
    <row r="22" spans="1:23" s="13" customFormat="1" x14ac:dyDescent="0.25">
      <c r="A22" s="49"/>
      <c r="H22" s="34"/>
    </row>
    <row r="23" spans="1:23" x14ac:dyDescent="0.25">
      <c r="A23" s="87" t="s">
        <v>145</v>
      </c>
      <c r="B23" s="30"/>
      <c r="C23" s="30"/>
      <c r="D23" s="30"/>
      <c r="E23" s="30"/>
      <c r="F23" s="30"/>
      <c r="G23" s="30"/>
      <c r="H23" s="32"/>
      <c r="I23" s="30"/>
      <c r="J23" s="30"/>
      <c r="K23" s="30">
        <v>38</v>
      </c>
      <c r="L23" s="30">
        <v>30</v>
      </c>
      <c r="M23" s="30">
        <v>38</v>
      </c>
      <c r="N23" s="30">
        <v>21</v>
      </c>
      <c r="O23" s="30">
        <v>32</v>
      </c>
      <c r="P23" s="30">
        <v>28</v>
      </c>
      <c r="Q23" s="30">
        <v>21</v>
      </c>
      <c r="R23" s="30">
        <v>27</v>
      </c>
      <c r="S23" s="30">
        <v>29</v>
      </c>
      <c r="T23" s="30">
        <v>28</v>
      </c>
      <c r="U23" s="30">
        <v>36</v>
      </c>
    </row>
    <row r="24" spans="1:23" x14ac:dyDescent="0.25">
      <c r="A24" s="71" t="s">
        <v>133</v>
      </c>
      <c r="B24" s="10"/>
      <c r="C24" s="10"/>
    </row>
    <row r="25" spans="1:23" x14ac:dyDescent="0.25">
      <c r="A25" s="71" t="s">
        <v>132</v>
      </c>
      <c r="B25" s="10"/>
      <c r="C25" s="10"/>
      <c r="K25" s="13">
        <f>277/K6</f>
        <v>0.30506607929515417</v>
      </c>
      <c r="L25" s="34">
        <f>351/L6</f>
        <v>0.3253012048192771</v>
      </c>
      <c r="M25" s="34">
        <f>344/M6</f>
        <v>0.30442477876106194</v>
      </c>
      <c r="N25" s="13">
        <f>294/994</f>
        <v>0.29577464788732394</v>
      </c>
      <c r="O25" s="13">
        <f>326/1021</f>
        <v>0.31929480901077373</v>
      </c>
      <c r="P25" s="13">
        <f>299/1005</f>
        <v>0.29751243781094527</v>
      </c>
      <c r="Q25" s="13">
        <f>302/936</f>
        <v>0.32264957264957267</v>
      </c>
      <c r="R25" s="13">
        <v>0.36</v>
      </c>
      <c r="S25" s="13">
        <v>0.38</v>
      </c>
      <c r="T25" s="13">
        <v>0.32</v>
      </c>
      <c r="U25" s="13">
        <v>0.33</v>
      </c>
    </row>
    <row r="26" spans="1:23" x14ac:dyDescent="0.25">
      <c r="B26" s="10"/>
      <c r="C26" s="10"/>
    </row>
    <row r="27" spans="1:23" x14ac:dyDescent="0.25">
      <c r="A27" t="s">
        <v>115</v>
      </c>
      <c r="B27" s="10"/>
      <c r="C27" s="10"/>
    </row>
    <row r="28" spans="1:23" ht="26.25" customHeight="1" x14ac:dyDescent="0.25">
      <c r="A28" s="115" t="s">
        <v>118</v>
      </c>
      <c r="B28" s="115"/>
      <c r="C28" s="115"/>
      <c r="D28" s="115"/>
      <c r="E28" s="115"/>
      <c r="F28" s="115"/>
      <c r="G28" s="115"/>
      <c r="H28" s="115"/>
      <c r="I28" s="115"/>
      <c r="J28" s="115"/>
      <c r="K28" s="115"/>
      <c r="L28" s="115"/>
    </row>
    <row r="29" spans="1:23" ht="28.5" customHeight="1" x14ac:dyDescent="0.25">
      <c r="A29" s="114" t="s">
        <v>119</v>
      </c>
      <c r="B29" s="114"/>
      <c r="C29" s="114"/>
      <c r="D29" s="114"/>
      <c r="E29" s="114"/>
      <c r="F29" s="114"/>
      <c r="G29" s="114"/>
      <c r="H29" s="114"/>
      <c r="I29" s="114"/>
      <c r="J29" s="114"/>
      <c r="K29" s="114"/>
      <c r="L29" s="114"/>
    </row>
    <row r="30" spans="1:23" ht="24.75" customHeight="1" x14ac:dyDescent="0.25">
      <c r="A30" s="116" t="s">
        <v>112</v>
      </c>
      <c r="B30" s="117"/>
      <c r="C30" s="117"/>
      <c r="D30" s="117"/>
      <c r="E30" s="117"/>
      <c r="F30" s="117"/>
      <c r="G30" s="117"/>
      <c r="H30" s="117"/>
      <c r="I30" s="117"/>
      <c r="J30" s="117"/>
      <c r="K30" s="117"/>
      <c r="L30" s="117"/>
    </row>
    <row r="32" spans="1:23" ht="52.8" x14ac:dyDescent="0.25">
      <c r="A32" s="68" t="s">
        <v>144</v>
      </c>
    </row>
  </sheetData>
  <mergeCells count="3">
    <mergeCell ref="A29:L29"/>
    <mergeCell ref="A28:L28"/>
    <mergeCell ref="A30:L30"/>
  </mergeCells>
  <phoneticPr fontId="8" type="noConversion"/>
  <pageMargins left="0.17" right="0.17" top="0.61" bottom="0.59"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zoomScaleNormal="100" workbookViewId="0">
      <pane xSplit="3" ySplit="5" topLeftCell="O6" activePane="bottomRight" state="frozen"/>
      <selection pane="topRight" activeCell="D1" sqref="D1"/>
      <selection pane="bottomLeft" activeCell="A6" sqref="A6"/>
      <selection pane="bottomRight" activeCell="AD17" sqref="AD17"/>
    </sheetView>
  </sheetViews>
  <sheetFormatPr defaultRowHeight="13.2" x14ac:dyDescent="0.25"/>
  <cols>
    <col min="1" max="1" width="32.109375" style="51" customWidth="1"/>
    <col min="2" max="2" width="8" hidden="1" customWidth="1"/>
    <col min="3" max="3" width="9.88671875" hidden="1" customWidth="1"/>
    <col min="4" max="5" width="9.109375" hidden="1" customWidth="1"/>
    <col min="6" max="6" width="4.109375" hidden="1" customWidth="1"/>
    <col min="8" max="8" width="8.88671875" customWidth="1"/>
    <col min="13" max="20" width="9.44140625" style="30" customWidth="1"/>
    <col min="21" max="22" width="10.33203125" bestFit="1" customWidth="1"/>
    <col min="23" max="25" width="10.33203125" customWidth="1"/>
    <col min="26" max="26" width="17.5546875" bestFit="1" customWidth="1"/>
  </cols>
  <sheetData>
    <row r="1" spans="1:27" ht="15.6" x14ac:dyDescent="0.3">
      <c r="A1" s="11" t="s">
        <v>165</v>
      </c>
      <c r="B1" s="11"/>
      <c r="C1" s="11"/>
      <c r="D1" s="11"/>
      <c r="E1" s="11"/>
      <c r="F1" s="11"/>
      <c r="G1" s="11"/>
      <c r="H1" s="11"/>
      <c r="I1" s="11"/>
      <c r="J1" s="11"/>
      <c r="K1" s="11"/>
      <c r="L1" s="11"/>
      <c r="M1" s="40"/>
      <c r="N1" s="40"/>
      <c r="O1" s="40"/>
      <c r="P1" s="40"/>
      <c r="Q1" s="40"/>
      <c r="R1" s="40"/>
      <c r="S1" s="40"/>
      <c r="T1" s="40"/>
      <c r="U1" s="5"/>
      <c r="V1" s="5"/>
      <c r="W1" s="5"/>
      <c r="X1" s="5"/>
      <c r="Y1" s="5"/>
    </row>
    <row r="2" spans="1:27" x14ac:dyDescent="0.25">
      <c r="A2" s="9" t="s">
        <v>176</v>
      </c>
      <c r="B2" s="5"/>
      <c r="C2" s="5"/>
      <c r="D2" s="5"/>
      <c r="E2" s="5"/>
      <c r="F2" s="5"/>
      <c r="G2" s="5"/>
      <c r="H2" s="5"/>
      <c r="I2" s="5"/>
      <c r="J2" s="5"/>
      <c r="K2" s="5"/>
      <c r="L2" s="5"/>
      <c r="M2" s="41"/>
      <c r="N2" s="41"/>
      <c r="O2" s="41"/>
      <c r="P2" s="41"/>
      <c r="Q2" s="41"/>
      <c r="R2" s="41"/>
      <c r="S2" s="41"/>
      <c r="T2" s="41"/>
      <c r="U2" s="5"/>
      <c r="V2" s="5"/>
      <c r="W2" s="5"/>
      <c r="X2" s="5"/>
      <c r="Y2" s="5"/>
    </row>
    <row r="4" spans="1:27" ht="26.4" x14ac:dyDescent="0.25">
      <c r="M4" s="42"/>
      <c r="N4" s="42"/>
      <c r="O4" s="42"/>
      <c r="P4" s="42"/>
      <c r="Q4" s="42"/>
      <c r="R4" s="42"/>
      <c r="S4" s="42"/>
      <c r="T4" s="42"/>
      <c r="U4" s="42"/>
      <c r="V4" s="42"/>
      <c r="W4" s="42"/>
      <c r="X4" s="42"/>
      <c r="Y4" s="42"/>
      <c r="Z4" t="s">
        <v>59</v>
      </c>
      <c r="AA4" t="s">
        <v>61</v>
      </c>
    </row>
    <row r="5" spans="1:27" x14ac:dyDescent="0.25">
      <c r="B5" s="3" t="s">
        <v>13</v>
      </c>
      <c r="C5" s="3" t="s">
        <v>1</v>
      </c>
      <c r="D5" s="3" t="s">
        <v>2</v>
      </c>
      <c r="E5" s="3" t="s">
        <v>3</v>
      </c>
      <c r="F5" s="3" t="s">
        <v>4</v>
      </c>
      <c r="G5" s="3" t="s">
        <v>11</v>
      </c>
      <c r="H5" s="3" t="s">
        <v>5</v>
      </c>
      <c r="I5" s="3" t="s">
        <v>14</v>
      </c>
      <c r="J5" s="3" t="s">
        <v>35</v>
      </c>
      <c r="K5" s="3" t="s">
        <v>36</v>
      </c>
      <c r="L5" s="3" t="s">
        <v>37</v>
      </c>
      <c r="M5" s="43" t="s">
        <v>108</v>
      </c>
      <c r="N5" s="43" t="s">
        <v>124</v>
      </c>
      <c r="O5" s="70" t="s">
        <v>125</v>
      </c>
      <c r="P5" s="70" t="s">
        <v>128</v>
      </c>
      <c r="Q5" s="70" t="s">
        <v>139</v>
      </c>
      <c r="R5" s="86" t="s">
        <v>141</v>
      </c>
      <c r="S5" s="86" t="s">
        <v>151</v>
      </c>
      <c r="T5" s="86" t="s">
        <v>156</v>
      </c>
      <c r="U5" s="86" t="s">
        <v>160</v>
      </c>
      <c r="V5" s="86" t="s">
        <v>167</v>
      </c>
      <c r="W5" s="86" t="s">
        <v>170</v>
      </c>
      <c r="X5" s="86" t="s">
        <v>174</v>
      </c>
      <c r="Y5" s="86" t="s">
        <v>175</v>
      </c>
      <c r="Z5" s="16" t="s">
        <v>60</v>
      </c>
      <c r="AA5" s="16" t="s">
        <v>60</v>
      </c>
    </row>
    <row r="6" spans="1:27" x14ac:dyDescent="0.25">
      <c r="A6" s="51" t="s">
        <v>161</v>
      </c>
      <c r="B6">
        <v>1038</v>
      </c>
      <c r="C6">
        <v>1052</v>
      </c>
      <c r="D6">
        <v>1090</v>
      </c>
      <c r="E6">
        <v>1066</v>
      </c>
      <c r="F6">
        <v>1061</v>
      </c>
      <c r="G6">
        <v>991</v>
      </c>
      <c r="H6">
        <v>1176</v>
      </c>
      <c r="I6">
        <v>1234</v>
      </c>
      <c r="J6">
        <v>1044</v>
      </c>
      <c r="K6">
        <v>1079</v>
      </c>
      <c r="L6">
        <v>1079</v>
      </c>
      <c r="M6" s="30">
        <v>1055</v>
      </c>
      <c r="N6" s="30">
        <v>1100</v>
      </c>
      <c r="O6" s="30">
        <v>1140</v>
      </c>
      <c r="P6" s="30">
        <v>1185</v>
      </c>
      <c r="Q6" s="30">
        <v>1271</v>
      </c>
      <c r="R6" s="30">
        <v>1150</v>
      </c>
      <c r="S6" s="30">
        <v>1074</v>
      </c>
      <c r="T6" s="30">
        <v>974</v>
      </c>
      <c r="U6" s="30">
        <v>1047</v>
      </c>
      <c r="V6" s="30">
        <v>868</v>
      </c>
      <c r="W6" s="30">
        <v>854</v>
      </c>
      <c r="X6" s="30">
        <v>992</v>
      </c>
      <c r="Y6" s="30">
        <v>1046</v>
      </c>
      <c r="Z6" s="88">
        <f>SUM(U6:Y6)/5</f>
        <v>961.4</v>
      </c>
      <c r="AA6" s="88">
        <f>SUM(W6:Y6)/3</f>
        <v>964</v>
      </c>
    </row>
    <row r="7" spans="1:27" x14ac:dyDescent="0.25">
      <c r="A7" s="51" t="s">
        <v>162</v>
      </c>
      <c r="B7">
        <v>933</v>
      </c>
      <c r="C7">
        <v>964</v>
      </c>
      <c r="D7">
        <v>995</v>
      </c>
      <c r="E7">
        <v>996</v>
      </c>
      <c r="F7">
        <v>996</v>
      </c>
      <c r="G7">
        <v>916</v>
      </c>
      <c r="H7">
        <v>1100</v>
      </c>
      <c r="I7">
        <v>1135</v>
      </c>
      <c r="J7">
        <v>995</v>
      </c>
      <c r="K7">
        <v>1020</v>
      </c>
      <c r="L7">
        <v>1008</v>
      </c>
      <c r="M7" s="30">
        <v>938</v>
      </c>
      <c r="N7" s="30">
        <v>937</v>
      </c>
      <c r="O7" s="30">
        <v>959</v>
      </c>
      <c r="P7" s="30">
        <v>995</v>
      </c>
      <c r="Q7" s="30">
        <v>1087</v>
      </c>
      <c r="R7" s="30">
        <v>962</v>
      </c>
      <c r="S7" s="30">
        <v>885</v>
      </c>
      <c r="T7" s="30">
        <v>845</v>
      </c>
      <c r="U7" s="30">
        <v>900</v>
      </c>
      <c r="V7" s="30">
        <v>805</v>
      </c>
      <c r="W7" s="30">
        <v>785</v>
      </c>
      <c r="X7" s="30">
        <v>910</v>
      </c>
      <c r="Y7" s="30">
        <v>986</v>
      </c>
      <c r="Z7" s="88">
        <f>SUM(U7:Y7)/5</f>
        <v>877.2</v>
      </c>
      <c r="AA7" s="88">
        <f>SUM(W7:Y7)/3</f>
        <v>893.66666666666663</v>
      </c>
    </row>
    <row r="8" spans="1:27" x14ac:dyDescent="0.25">
      <c r="A8" s="52" t="s">
        <v>62</v>
      </c>
      <c r="B8" s="2">
        <f>B7/B6</f>
        <v>0.89884393063583812</v>
      </c>
      <c r="C8" s="2">
        <f t="shared" ref="C8:AA8" si="0">C7/C6</f>
        <v>0.91634980988593151</v>
      </c>
      <c r="D8" s="2">
        <f t="shared" si="0"/>
        <v>0.91284403669724767</v>
      </c>
      <c r="E8" s="2">
        <f t="shared" si="0"/>
        <v>0.93433395872420266</v>
      </c>
      <c r="F8" s="2">
        <f t="shared" si="0"/>
        <v>0.93873704052780393</v>
      </c>
      <c r="G8" s="2">
        <f t="shared" si="0"/>
        <v>0.92431886982845612</v>
      </c>
      <c r="H8" s="2">
        <f t="shared" si="0"/>
        <v>0.93537414965986398</v>
      </c>
      <c r="I8" s="2">
        <f t="shared" si="0"/>
        <v>0.91977309562398701</v>
      </c>
      <c r="J8" s="2">
        <f t="shared" si="0"/>
        <v>0.95306513409961691</v>
      </c>
      <c r="K8" s="2">
        <f t="shared" si="0"/>
        <v>0.94531974050046341</v>
      </c>
      <c r="L8" s="2">
        <f t="shared" si="0"/>
        <v>0.93419833178869327</v>
      </c>
      <c r="M8" s="2">
        <f t="shared" si="0"/>
        <v>0.88909952606635068</v>
      </c>
      <c r="N8" s="2">
        <f t="shared" si="0"/>
        <v>0.85181818181818181</v>
      </c>
      <c r="O8" s="2">
        <f t="shared" si="0"/>
        <v>0.84122807017543855</v>
      </c>
      <c r="P8" s="2">
        <f t="shared" si="0"/>
        <v>0.83966244725738393</v>
      </c>
      <c r="Q8" s="2">
        <f t="shared" ref="Q8" si="1">Q7/Q6</f>
        <v>0.85523210070810385</v>
      </c>
      <c r="R8" s="2">
        <f t="shared" si="0"/>
        <v>0.83652173913043482</v>
      </c>
      <c r="S8" s="2">
        <f t="shared" ref="S8" si="2">S7/S6</f>
        <v>0.82402234636871508</v>
      </c>
      <c r="T8" s="2">
        <f t="shared" si="0"/>
        <v>0.86755646817248455</v>
      </c>
      <c r="U8" s="2">
        <f t="shared" ref="U8" si="3">U7/U6</f>
        <v>0.85959885386819479</v>
      </c>
      <c r="V8" s="2">
        <f t="shared" si="0"/>
        <v>0.92741935483870963</v>
      </c>
      <c r="W8" s="2">
        <f t="shared" si="0"/>
        <v>0.91920374707259955</v>
      </c>
      <c r="X8" s="2">
        <f t="shared" si="0"/>
        <v>0.91733870967741937</v>
      </c>
      <c r="Y8" s="2">
        <f t="shared" si="0"/>
        <v>0.9426386233269598</v>
      </c>
      <c r="Z8" s="104">
        <f t="shared" si="0"/>
        <v>0.91241938839192849</v>
      </c>
      <c r="AA8" s="104">
        <f t="shared" si="0"/>
        <v>0.92704011065006908</v>
      </c>
    </row>
    <row r="9" spans="1:27" x14ac:dyDescent="0.25">
      <c r="U9" s="30"/>
      <c r="V9" s="30"/>
      <c r="W9" s="30"/>
      <c r="X9" s="30"/>
      <c r="Y9" s="30"/>
      <c r="Z9" s="107"/>
      <c r="AA9" s="107"/>
    </row>
    <row r="10" spans="1:27" s="1" customFormat="1" x14ac:dyDescent="0.25">
      <c r="A10" s="53" t="s">
        <v>157</v>
      </c>
      <c r="M10" s="44"/>
      <c r="N10" s="44"/>
      <c r="O10" s="44"/>
      <c r="P10" s="44"/>
      <c r="Q10" s="44"/>
      <c r="R10" s="44"/>
      <c r="S10" s="44"/>
      <c r="T10" s="44"/>
      <c r="U10" s="44"/>
      <c r="V10" s="44"/>
      <c r="W10" s="44"/>
      <c r="X10" s="44"/>
      <c r="Y10" s="44"/>
      <c r="Z10" s="120"/>
      <c r="AA10" s="120"/>
    </row>
    <row r="11" spans="1:27" x14ac:dyDescent="0.25">
      <c r="A11" s="51" t="s">
        <v>163</v>
      </c>
      <c r="B11">
        <v>19.3</v>
      </c>
      <c r="C11">
        <v>19.7</v>
      </c>
      <c r="D11">
        <v>19.8</v>
      </c>
      <c r="E11">
        <v>19.600000000000001</v>
      </c>
      <c r="F11">
        <v>19.3</v>
      </c>
      <c r="G11">
        <v>19.399999999999999</v>
      </c>
      <c r="H11">
        <v>19.5</v>
      </c>
      <c r="I11">
        <v>19.3</v>
      </c>
      <c r="J11">
        <v>19.100000000000001</v>
      </c>
      <c r="K11">
        <v>18.899999999999999</v>
      </c>
      <c r="L11">
        <v>19.3</v>
      </c>
      <c r="M11" s="10">
        <v>19.5</v>
      </c>
      <c r="N11" s="10">
        <v>19.600000000000001</v>
      </c>
      <c r="O11" s="10">
        <v>20.3</v>
      </c>
      <c r="P11" s="10">
        <v>19.8</v>
      </c>
      <c r="Q11" s="10">
        <v>20.100000000000001</v>
      </c>
      <c r="R11" s="10">
        <v>20.2</v>
      </c>
      <c r="S11" s="10">
        <v>20.3</v>
      </c>
      <c r="T11" s="10">
        <v>20.5</v>
      </c>
      <c r="U11" s="10">
        <v>20.5</v>
      </c>
      <c r="V11" s="10">
        <v>21.1</v>
      </c>
      <c r="W11" s="10">
        <v>20.9</v>
      </c>
      <c r="X11" s="10">
        <v>21</v>
      </c>
      <c r="Y11" s="10">
        <v>20.6</v>
      </c>
      <c r="Z11" s="88">
        <f>SUM(U11:Y11)/5</f>
        <v>20.82</v>
      </c>
      <c r="AA11" s="88">
        <f>SUM(W11:Y11)/3</f>
        <v>20.833333333333332</v>
      </c>
    </row>
    <row r="12" spans="1:27" s="10" customFormat="1" x14ac:dyDescent="0.25">
      <c r="A12" s="54" t="s">
        <v>162</v>
      </c>
      <c r="B12" s="10">
        <v>19.399999999999999</v>
      </c>
      <c r="C12" s="10">
        <v>19.8</v>
      </c>
      <c r="D12" s="10">
        <v>20</v>
      </c>
      <c r="E12" s="10">
        <v>19.7</v>
      </c>
      <c r="F12" s="10">
        <v>19.399999999999999</v>
      </c>
      <c r="G12" s="10">
        <v>19.5</v>
      </c>
      <c r="H12" s="10">
        <v>19.7</v>
      </c>
      <c r="I12" s="10">
        <v>19.399999999999999</v>
      </c>
      <c r="J12" s="10">
        <v>19.2</v>
      </c>
      <c r="K12" s="10">
        <v>19</v>
      </c>
      <c r="L12" s="10">
        <v>19.399999999999999</v>
      </c>
      <c r="M12" s="10">
        <v>19.8</v>
      </c>
      <c r="N12" s="10">
        <v>20.399999999999999</v>
      </c>
      <c r="O12" s="10">
        <v>21.1</v>
      </c>
      <c r="P12" s="10">
        <v>20.6</v>
      </c>
      <c r="Q12" s="10">
        <v>20.9</v>
      </c>
      <c r="R12" s="88">
        <v>20.3</v>
      </c>
      <c r="S12" s="88">
        <v>21.1</v>
      </c>
      <c r="T12" s="88">
        <v>21.1</v>
      </c>
      <c r="U12" s="88">
        <v>21.1</v>
      </c>
      <c r="V12" s="88">
        <v>21.4</v>
      </c>
      <c r="W12" s="88">
        <v>21.2</v>
      </c>
      <c r="X12" s="88">
        <v>21.3</v>
      </c>
      <c r="Y12" s="88">
        <v>20.8</v>
      </c>
      <c r="Z12" s="88">
        <f>SUM(U12:Y12)/5</f>
        <v>21.16</v>
      </c>
      <c r="AA12" s="88">
        <f>SUM(W12:Y12)/3</f>
        <v>21.099999999999998</v>
      </c>
    </row>
    <row r="13" spans="1:27" s="10" customFormat="1" x14ac:dyDescent="0.25">
      <c r="A13" s="54"/>
      <c r="M13" s="30"/>
      <c r="N13" s="30"/>
      <c r="O13" s="30"/>
      <c r="P13" s="30"/>
      <c r="Q13" s="30"/>
      <c r="R13" s="30"/>
      <c r="S13" s="30"/>
      <c r="T13" s="30"/>
      <c r="U13" s="30"/>
      <c r="V13" s="30"/>
      <c r="W13" s="30"/>
      <c r="X13" s="30"/>
      <c r="Y13" s="30"/>
      <c r="Z13" s="88"/>
      <c r="AA13" s="88"/>
    </row>
    <row r="14" spans="1:27" s="12" customFormat="1" x14ac:dyDescent="0.25">
      <c r="A14" s="55" t="s">
        <v>51</v>
      </c>
      <c r="M14" s="44"/>
      <c r="N14" s="44"/>
      <c r="O14" s="44"/>
      <c r="P14" s="44"/>
      <c r="Q14" s="44"/>
      <c r="R14" s="44"/>
      <c r="S14" s="44"/>
      <c r="T14" s="44"/>
      <c r="U14" s="44"/>
      <c r="V14" s="44"/>
      <c r="W14" s="44"/>
      <c r="X14" s="44"/>
      <c r="Y14" s="44"/>
      <c r="Z14" s="121"/>
      <c r="AA14" s="121"/>
    </row>
    <row r="15" spans="1:27" s="13" customFormat="1" x14ac:dyDescent="0.25">
      <c r="A15" s="51" t="s">
        <v>46</v>
      </c>
      <c r="B15" s="14" t="s">
        <v>52</v>
      </c>
      <c r="C15" s="14"/>
      <c r="D15" s="14"/>
      <c r="E15" s="13">
        <v>0.67</v>
      </c>
      <c r="F15" s="13">
        <v>0.69</v>
      </c>
      <c r="G15" s="13">
        <v>0.6</v>
      </c>
      <c r="H15" s="13">
        <v>0.68</v>
      </c>
      <c r="I15" s="13">
        <v>0.66</v>
      </c>
      <c r="J15" s="13">
        <v>0.62</v>
      </c>
      <c r="K15" s="13">
        <v>0.62</v>
      </c>
      <c r="L15" s="13">
        <v>0.65</v>
      </c>
      <c r="M15" s="13">
        <v>0.87</v>
      </c>
      <c r="N15" s="13">
        <v>0.9</v>
      </c>
      <c r="O15" s="13">
        <v>0.85</v>
      </c>
      <c r="P15" s="13">
        <v>0.83</v>
      </c>
      <c r="Q15" s="79" t="s">
        <v>140</v>
      </c>
      <c r="R15" s="79" t="s">
        <v>140</v>
      </c>
      <c r="S15" s="94" t="s">
        <v>140</v>
      </c>
      <c r="T15" s="94" t="s">
        <v>140</v>
      </c>
      <c r="U15" s="94" t="s">
        <v>140</v>
      </c>
      <c r="V15" s="94" t="s">
        <v>140</v>
      </c>
      <c r="W15" s="94" t="s">
        <v>140</v>
      </c>
      <c r="X15" s="94" t="s">
        <v>140</v>
      </c>
      <c r="Y15" s="94" t="s">
        <v>140</v>
      </c>
      <c r="Z15" s="122" t="s">
        <v>140</v>
      </c>
      <c r="AA15" s="122" t="s">
        <v>140</v>
      </c>
    </row>
    <row r="16" spans="1:27" x14ac:dyDescent="0.25">
      <c r="U16" s="30"/>
      <c r="V16" s="30"/>
      <c r="W16" s="30"/>
      <c r="X16" s="30"/>
      <c r="Y16" s="30"/>
      <c r="Z16" s="107"/>
      <c r="AA16" s="107"/>
    </row>
    <row r="17" spans="1:27" x14ac:dyDescent="0.25">
      <c r="A17" s="53" t="s">
        <v>47</v>
      </c>
      <c r="B17" s="2"/>
      <c r="C17" s="2"/>
      <c r="D17" s="2"/>
      <c r="E17" s="2"/>
      <c r="F17" s="2"/>
      <c r="G17" s="2"/>
      <c r="H17" s="2"/>
      <c r="I17" s="2"/>
      <c r="J17" s="2"/>
      <c r="K17" s="2"/>
      <c r="L17" s="2"/>
      <c r="U17" s="30"/>
      <c r="V17" s="30"/>
      <c r="W17" s="30"/>
      <c r="X17" s="30"/>
      <c r="Y17" s="30"/>
      <c r="Z17" s="107"/>
      <c r="AA17" s="107"/>
    </row>
    <row r="18" spans="1:27" s="107" customFormat="1" x14ac:dyDescent="0.25">
      <c r="A18" s="103" t="s">
        <v>161</v>
      </c>
      <c r="B18" s="104">
        <v>0.54800000000000004</v>
      </c>
      <c r="C18" s="104">
        <v>0.54800000000000004</v>
      </c>
      <c r="D18" s="104">
        <v>0.57299999999999995</v>
      </c>
      <c r="E18" s="104">
        <v>0.59899999999999998</v>
      </c>
      <c r="F18" s="104">
        <v>0.56899999999999995</v>
      </c>
      <c r="G18" s="104">
        <v>0.54300000000000004</v>
      </c>
      <c r="H18" s="104">
        <v>0.54600000000000004</v>
      </c>
      <c r="I18" s="104">
        <v>0.54700000000000004</v>
      </c>
      <c r="J18" s="104">
        <v>0.53300000000000003</v>
      </c>
      <c r="K18" s="105">
        <v>0.57799999999999996</v>
      </c>
      <c r="L18" s="104">
        <v>0.55700000000000005</v>
      </c>
      <c r="M18" s="104">
        <v>0.57799999999999996</v>
      </c>
      <c r="N18" s="104">
        <v>0.63800000000000001</v>
      </c>
      <c r="O18" s="104">
        <v>0.61899999999999999</v>
      </c>
      <c r="P18" s="104">
        <v>0.58799999999999997</v>
      </c>
      <c r="Q18" s="104">
        <v>0.58399999999999996</v>
      </c>
      <c r="R18" s="104">
        <f>636/1150</f>
        <v>0.55304347826086953</v>
      </c>
      <c r="S18" s="104">
        <f>631/1073</f>
        <v>0.58807082945013978</v>
      </c>
      <c r="T18" s="104">
        <f>585/972</f>
        <v>0.60185185185185186</v>
      </c>
      <c r="U18" s="104">
        <f>617/1044</f>
        <v>0.59099616858237547</v>
      </c>
      <c r="V18" s="104">
        <f>546/867</f>
        <v>0.62975778546712802</v>
      </c>
      <c r="W18" s="104">
        <f>531/852</f>
        <v>0.62323943661971826</v>
      </c>
      <c r="X18" s="104">
        <f>573/986</f>
        <v>0.58113590263691683</v>
      </c>
      <c r="Y18" s="104"/>
      <c r="Z18" s="106">
        <f>SUM(T18:X18)/5</f>
        <v>0.60539622903159818</v>
      </c>
      <c r="AA18" s="106">
        <f>SUM(V18:X18)/3</f>
        <v>0.61137770824125448</v>
      </c>
    </row>
    <row r="19" spans="1:27" s="107" customFormat="1" x14ac:dyDescent="0.25">
      <c r="A19" s="103" t="s">
        <v>162</v>
      </c>
      <c r="B19" s="104">
        <v>0.54</v>
      </c>
      <c r="C19" s="104">
        <v>0.54800000000000004</v>
      </c>
      <c r="D19" s="104">
        <v>0.61</v>
      </c>
      <c r="E19" s="104">
        <v>0.63900000000000001</v>
      </c>
      <c r="F19" s="104">
        <v>0.623</v>
      </c>
      <c r="G19" s="104">
        <v>0.55800000000000005</v>
      </c>
      <c r="H19" s="104">
        <v>0.59499999999999997</v>
      </c>
      <c r="I19" s="104">
        <v>0.55100000000000005</v>
      </c>
      <c r="J19" s="104">
        <v>0.56000000000000005</v>
      </c>
      <c r="K19" s="104">
        <v>0.59499999999999997</v>
      </c>
      <c r="L19" s="104">
        <v>0.56699999999999995</v>
      </c>
      <c r="M19" s="104">
        <v>0.60399999999999998</v>
      </c>
      <c r="N19" s="104">
        <v>0.67700000000000005</v>
      </c>
      <c r="O19" s="104">
        <v>0.65600000000000003</v>
      </c>
      <c r="P19" s="104">
        <v>0.623</v>
      </c>
      <c r="Q19" s="104">
        <v>0.61899999999999999</v>
      </c>
      <c r="R19" s="104">
        <v>0.58099999999999996</v>
      </c>
      <c r="S19" s="104">
        <f>535/885</f>
        <v>0.60451977401129942</v>
      </c>
      <c r="T19" s="104">
        <f>540/843</f>
        <v>0.64056939501779364</v>
      </c>
      <c r="U19" s="104">
        <f>569/897</f>
        <v>0.63433667781493863</v>
      </c>
      <c r="V19" s="104">
        <f>523/804</f>
        <v>0.65049751243781095</v>
      </c>
      <c r="W19" s="104">
        <f>512/783</f>
        <v>0.6538952745849298</v>
      </c>
      <c r="X19" s="104">
        <f>558/905</f>
        <v>0.61657458563535916</v>
      </c>
      <c r="Y19" s="104"/>
      <c r="Z19" s="106">
        <f>SUM(T19:X19)/5</f>
        <v>0.63917468909816644</v>
      </c>
      <c r="AA19" s="106">
        <f>SUM(V19:X19)/3</f>
        <v>0.64032245755270001</v>
      </c>
    </row>
    <row r="20" spans="1:27" s="107" customFormat="1" x14ac:dyDescent="0.25">
      <c r="A20" s="103"/>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8"/>
      <c r="AA20" s="108"/>
    </row>
    <row r="21" spans="1:27" s="104" customFormat="1" x14ac:dyDescent="0.25">
      <c r="A21" s="109" t="s">
        <v>166</v>
      </c>
      <c r="C21" s="104">
        <v>0.435</v>
      </c>
      <c r="D21" s="104">
        <v>0.47599999999999998</v>
      </c>
      <c r="E21" s="104">
        <v>0.47799999999999998</v>
      </c>
      <c r="F21" s="104">
        <v>0.47899999999999998</v>
      </c>
      <c r="G21" s="104">
        <v>0.42499999999999999</v>
      </c>
      <c r="H21" s="104">
        <v>0.44400000000000001</v>
      </c>
      <c r="I21" s="104">
        <v>0.42499999999999999</v>
      </c>
      <c r="J21" s="104">
        <v>0.42199999999999999</v>
      </c>
      <c r="K21" s="104">
        <v>0.434</v>
      </c>
      <c r="L21" s="104">
        <v>0.44500000000000001</v>
      </c>
      <c r="M21" s="104">
        <v>0.46300000000000002</v>
      </c>
      <c r="N21" s="104">
        <v>0.51300000000000001</v>
      </c>
      <c r="O21" s="104">
        <v>0.52</v>
      </c>
      <c r="P21" s="104">
        <f>480/1003</f>
        <v>0.47856430707876368</v>
      </c>
      <c r="Q21" s="104">
        <f>470/1087</f>
        <v>0.43238270469181234</v>
      </c>
      <c r="R21" s="104">
        <f>396/962</f>
        <v>0.41164241164241167</v>
      </c>
      <c r="S21" s="104">
        <f>408/885</f>
        <v>0.46101694915254238</v>
      </c>
      <c r="T21" s="104">
        <f>396/843</f>
        <v>0.46975088967971529</v>
      </c>
      <c r="U21" s="104">
        <f>444/895</f>
        <v>0.49608938547486031</v>
      </c>
      <c r="V21" s="104">
        <f>408/804</f>
        <v>0.5074626865671642</v>
      </c>
      <c r="W21" s="104">
        <f>408/783</f>
        <v>0.52107279693486586</v>
      </c>
      <c r="Z21" s="106">
        <f>SUM(S21:W21)/5</f>
        <v>0.49107854156182962</v>
      </c>
      <c r="AA21" s="106">
        <f>SUM(U21:W21)/3</f>
        <v>0.50820828965896347</v>
      </c>
    </row>
    <row r="22" spans="1:27" x14ac:dyDescent="0.25">
      <c r="U22" s="30"/>
      <c r="V22" s="30"/>
      <c r="W22" s="30"/>
      <c r="X22" s="30"/>
      <c r="Y22" s="30"/>
      <c r="Z22" s="120"/>
      <c r="AA22" s="120"/>
    </row>
    <row r="23" spans="1:27" s="1" customFormat="1" x14ac:dyDescent="0.25">
      <c r="A23" s="53" t="s">
        <v>49</v>
      </c>
      <c r="M23" s="44"/>
      <c r="N23" s="44"/>
      <c r="O23" s="44"/>
      <c r="P23" s="44"/>
      <c r="Q23" s="44"/>
      <c r="R23" s="44"/>
      <c r="S23" s="44"/>
      <c r="T23" s="44"/>
      <c r="U23" s="44"/>
      <c r="V23" s="44"/>
      <c r="W23" s="44"/>
      <c r="X23" s="44"/>
      <c r="Y23" s="44"/>
      <c r="Z23" s="120"/>
      <c r="AA23" s="120"/>
    </row>
    <row r="24" spans="1:27" s="13" customFormat="1" x14ac:dyDescent="0.25">
      <c r="A24" s="56" t="s">
        <v>46</v>
      </c>
      <c r="B24" s="13">
        <v>0.45</v>
      </c>
      <c r="C24" s="13">
        <v>0.45</v>
      </c>
      <c r="D24" s="13">
        <v>0.51</v>
      </c>
      <c r="E24" s="13">
        <v>0.53</v>
      </c>
      <c r="F24" s="13">
        <v>0.52</v>
      </c>
      <c r="G24" s="13">
        <v>0.48</v>
      </c>
      <c r="H24" s="13">
        <v>0.51</v>
      </c>
      <c r="I24" s="13">
        <v>0.52</v>
      </c>
      <c r="J24" s="13">
        <v>0.49</v>
      </c>
      <c r="K24" s="13">
        <v>0.45</v>
      </c>
      <c r="L24" s="13">
        <v>0.5</v>
      </c>
      <c r="M24" s="13">
        <v>0.47</v>
      </c>
      <c r="N24" s="75">
        <v>0.54</v>
      </c>
      <c r="O24" s="75">
        <v>0.61899999999999999</v>
      </c>
      <c r="P24" s="75">
        <v>0.57999999999999996</v>
      </c>
      <c r="Q24" s="75">
        <v>0.54</v>
      </c>
      <c r="R24" s="102">
        <v>0.56999999999999995</v>
      </c>
      <c r="S24" s="75">
        <v>0.56999999999999995</v>
      </c>
      <c r="T24" s="94" t="s">
        <v>173</v>
      </c>
      <c r="U24" s="74"/>
      <c r="V24" s="74"/>
      <c r="W24" s="74"/>
      <c r="X24" s="74"/>
      <c r="Y24" s="74"/>
      <c r="Z24" s="106">
        <v>0.55800000000000005</v>
      </c>
      <c r="AA24" s="106">
        <v>0.55700000000000005</v>
      </c>
    </row>
    <row r="25" spans="1:27" x14ac:dyDescent="0.25">
      <c r="A25" s="51" t="s">
        <v>50</v>
      </c>
      <c r="U25" s="30"/>
      <c r="V25" s="30"/>
      <c r="W25" s="30"/>
      <c r="X25" s="30"/>
      <c r="Y25" s="30"/>
      <c r="Z25" s="107"/>
      <c r="AA25" s="107"/>
    </row>
    <row r="26" spans="1:27" x14ac:dyDescent="0.25">
      <c r="A26" s="95" t="s">
        <v>155</v>
      </c>
      <c r="U26" s="30"/>
      <c r="V26" s="30"/>
      <c r="W26" s="30"/>
      <c r="X26" s="30"/>
      <c r="Y26" s="30"/>
      <c r="Z26" s="107"/>
      <c r="AA26" s="107"/>
    </row>
    <row r="27" spans="1:27" x14ac:dyDescent="0.25">
      <c r="U27" s="30"/>
      <c r="V27" s="30"/>
      <c r="W27" s="30"/>
      <c r="X27" s="30"/>
      <c r="Y27" s="30"/>
      <c r="Z27" s="107"/>
      <c r="AA27" s="107"/>
    </row>
    <row r="28" spans="1:27" s="1" customFormat="1" x14ac:dyDescent="0.25">
      <c r="A28" s="53" t="s">
        <v>164</v>
      </c>
      <c r="M28" s="44"/>
      <c r="N28" s="44"/>
      <c r="O28" s="44"/>
      <c r="P28" s="44"/>
      <c r="Q28" s="44"/>
      <c r="R28" s="44"/>
      <c r="S28" s="44"/>
      <c r="T28" s="44"/>
      <c r="U28" s="44"/>
      <c r="V28" s="44"/>
      <c r="W28" s="44"/>
      <c r="X28" s="44"/>
      <c r="Y28" s="44"/>
      <c r="Z28" s="107"/>
      <c r="AA28" s="107"/>
    </row>
    <row r="29" spans="1:27" s="15" customFormat="1" x14ac:dyDescent="0.25">
      <c r="A29" s="15" t="s">
        <v>57</v>
      </c>
      <c r="B29" s="19"/>
      <c r="C29" s="19"/>
      <c r="D29" s="19"/>
      <c r="E29" s="19"/>
      <c r="F29" s="19"/>
      <c r="G29" s="19"/>
      <c r="H29" s="19"/>
      <c r="I29" s="19"/>
      <c r="J29" s="19"/>
      <c r="K29" s="19"/>
      <c r="L29" s="19"/>
      <c r="M29" s="45"/>
      <c r="N29" s="45"/>
      <c r="O29" s="45"/>
      <c r="P29" s="45"/>
      <c r="Q29" s="45"/>
      <c r="R29" s="45"/>
      <c r="S29" s="45"/>
      <c r="T29" s="45"/>
      <c r="U29" s="45"/>
      <c r="V29" s="45"/>
      <c r="W29" s="45"/>
      <c r="X29" s="45"/>
      <c r="Y29" s="45"/>
      <c r="Z29" s="21"/>
      <c r="AA29" s="21"/>
    </row>
    <row r="30" spans="1:27" s="20" customFormat="1" x14ac:dyDescent="0.25">
      <c r="A30" s="57" t="s">
        <v>54</v>
      </c>
      <c r="B30" s="20">
        <v>363</v>
      </c>
      <c r="C30" s="20">
        <v>358</v>
      </c>
      <c r="D30" s="20">
        <v>385</v>
      </c>
      <c r="E30" s="20">
        <v>379</v>
      </c>
      <c r="F30" s="20">
        <v>378</v>
      </c>
      <c r="G30" s="20">
        <v>343</v>
      </c>
      <c r="H30" s="20">
        <v>391</v>
      </c>
      <c r="I30" s="20">
        <v>441</v>
      </c>
      <c r="J30" s="20">
        <v>378</v>
      </c>
      <c r="K30" s="20">
        <v>419</v>
      </c>
      <c r="L30" s="20">
        <v>406</v>
      </c>
      <c r="M30" s="46">
        <v>374</v>
      </c>
      <c r="N30" s="65">
        <v>354</v>
      </c>
      <c r="O30" s="65">
        <v>375</v>
      </c>
      <c r="P30" s="65">
        <v>351</v>
      </c>
      <c r="Q30" s="65">
        <v>447</v>
      </c>
      <c r="R30" s="65">
        <v>334</v>
      </c>
      <c r="S30" s="65">
        <v>299</v>
      </c>
      <c r="T30" s="65">
        <v>319</v>
      </c>
      <c r="U30" s="65">
        <v>330</v>
      </c>
      <c r="V30" s="65">
        <v>280</v>
      </c>
      <c r="W30" s="65">
        <v>286</v>
      </c>
      <c r="X30" s="65">
        <v>340</v>
      </c>
      <c r="Y30" s="65">
        <v>383</v>
      </c>
      <c r="Z30" s="88">
        <f>SUM(U30:Y30)/5</f>
        <v>323.8</v>
      </c>
      <c r="AA30" s="88">
        <f>SUM(W30:Y30)/3</f>
        <v>336.33333333333331</v>
      </c>
    </row>
    <row r="31" spans="1:27" x14ac:dyDescent="0.25">
      <c r="A31" s="51" t="s">
        <v>55</v>
      </c>
      <c r="B31">
        <v>24</v>
      </c>
      <c r="C31">
        <v>33</v>
      </c>
      <c r="D31">
        <v>25</v>
      </c>
      <c r="E31">
        <v>23</v>
      </c>
      <c r="F31">
        <v>30</v>
      </c>
      <c r="G31">
        <v>25</v>
      </c>
      <c r="H31">
        <v>31</v>
      </c>
      <c r="I31">
        <v>29</v>
      </c>
      <c r="J31">
        <v>30</v>
      </c>
      <c r="K31">
        <v>21</v>
      </c>
      <c r="L31">
        <v>34</v>
      </c>
      <c r="M31" s="30">
        <v>35</v>
      </c>
      <c r="N31" s="32">
        <v>29</v>
      </c>
      <c r="O31" s="32">
        <v>31</v>
      </c>
      <c r="P31" s="32">
        <v>47</v>
      </c>
      <c r="Q31" s="32">
        <v>50</v>
      </c>
      <c r="R31" s="32">
        <v>46</v>
      </c>
      <c r="S31" s="32">
        <v>39</v>
      </c>
      <c r="T31" s="32">
        <v>43</v>
      </c>
      <c r="U31" s="32">
        <v>41</v>
      </c>
      <c r="V31" s="32">
        <v>28</v>
      </c>
      <c r="W31" s="32">
        <v>21</v>
      </c>
      <c r="X31" s="32">
        <v>23</v>
      </c>
      <c r="Y31" s="32">
        <v>13</v>
      </c>
      <c r="Z31" s="88">
        <f t="shared" ref="Z31:Z33" si="4">SUM(U31:Y31)/5</f>
        <v>25.2</v>
      </c>
      <c r="AA31" s="88">
        <f t="shared" ref="AA31:AA34" si="5">SUM(W31:Y31)/3</f>
        <v>19</v>
      </c>
    </row>
    <row r="32" spans="1:27" x14ac:dyDescent="0.25">
      <c r="A32" s="51" t="s">
        <v>56</v>
      </c>
      <c r="B32">
        <v>6</v>
      </c>
      <c r="C32">
        <v>5</v>
      </c>
      <c r="D32">
        <v>3</v>
      </c>
      <c r="E32">
        <v>4</v>
      </c>
      <c r="F32">
        <v>2</v>
      </c>
      <c r="G32">
        <v>4</v>
      </c>
      <c r="H32">
        <v>5</v>
      </c>
      <c r="I32">
        <v>6</v>
      </c>
      <c r="J32">
        <v>5</v>
      </c>
      <c r="K32">
        <v>7</v>
      </c>
      <c r="L32">
        <v>4</v>
      </c>
      <c r="M32" s="30">
        <v>5</v>
      </c>
      <c r="N32" s="32">
        <v>9</v>
      </c>
      <c r="O32" s="32">
        <v>5</v>
      </c>
      <c r="P32" s="32">
        <v>12</v>
      </c>
      <c r="Q32" s="32">
        <v>14</v>
      </c>
      <c r="R32" s="32">
        <v>13</v>
      </c>
      <c r="S32" s="32">
        <v>12</v>
      </c>
      <c r="T32" s="32">
        <v>9</v>
      </c>
      <c r="U32" s="32">
        <v>3</v>
      </c>
      <c r="V32" s="32">
        <v>8</v>
      </c>
      <c r="W32" s="32">
        <v>5</v>
      </c>
      <c r="X32" s="32">
        <v>4</v>
      </c>
      <c r="Y32" s="32">
        <v>6</v>
      </c>
      <c r="Z32" s="88">
        <f t="shared" si="4"/>
        <v>5.2</v>
      </c>
      <c r="AA32" s="88">
        <f t="shared" si="5"/>
        <v>5</v>
      </c>
    </row>
    <row r="33" spans="1:27" ht="12" customHeight="1" x14ac:dyDescent="0.25">
      <c r="A33" s="51" t="s">
        <v>63</v>
      </c>
      <c r="B33">
        <v>7</v>
      </c>
      <c r="C33">
        <v>3</v>
      </c>
      <c r="D33">
        <v>1</v>
      </c>
      <c r="E33">
        <v>4</v>
      </c>
      <c r="F33">
        <v>2</v>
      </c>
      <c r="G33">
        <v>7</v>
      </c>
      <c r="H33">
        <v>3</v>
      </c>
      <c r="I33">
        <v>5</v>
      </c>
      <c r="J33">
        <v>10</v>
      </c>
      <c r="K33">
        <v>1</v>
      </c>
      <c r="L33">
        <v>8</v>
      </c>
      <c r="M33" s="30">
        <v>7</v>
      </c>
      <c r="N33" s="32">
        <v>6</v>
      </c>
      <c r="O33" s="32">
        <v>7</v>
      </c>
      <c r="P33" s="32">
        <v>19</v>
      </c>
      <c r="Q33" s="32">
        <v>16</v>
      </c>
      <c r="R33" s="32">
        <v>13</v>
      </c>
      <c r="S33" s="32">
        <v>12</v>
      </c>
      <c r="T33" s="32">
        <v>8</v>
      </c>
      <c r="U33" s="32">
        <v>7</v>
      </c>
      <c r="V33" s="32">
        <v>9</v>
      </c>
      <c r="W33" s="32">
        <v>4</v>
      </c>
      <c r="X33" s="32">
        <v>5</v>
      </c>
      <c r="Y33" s="32">
        <v>4</v>
      </c>
      <c r="Z33" s="88">
        <f t="shared" si="4"/>
        <v>5.8</v>
      </c>
      <c r="AA33" s="88">
        <f t="shared" si="5"/>
        <v>4.333333333333333</v>
      </c>
    </row>
    <row r="34" spans="1:27" ht="12" customHeight="1" x14ac:dyDescent="0.25">
      <c r="A34" s="51" t="s">
        <v>64</v>
      </c>
      <c r="B34">
        <f>SUM(B30:B33)</f>
        <v>400</v>
      </c>
      <c r="C34">
        <f t="shared" ref="C34:M34" si="6">SUM(C30:C33)</f>
        <v>399</v>
      </c>
      <c r="D34">
        <f t="shared" si="6"/>
        <v>414</v>
      </c>
      <c r="E34">
        <f t="shared" si="6"/>
        <v>410</v>
      </c>
      <c r="F34">
        <f t="shared" si="6"/>
        <v>412</v>
      </c>
      <c r="G34">
        <f t="shared" si="6"/>
        <v>379</v>
      </c>
      <c r="H34">
        <f t="shared" si="6"/>
        <v>430</v>
      </c>
      <c r="I34">
        <f t="shared" si="6"/>
        <v>481</v>
      </c>
      <c r="J34">
        <f t="shared" si="6"/>
        <v>423</v>
      </c>
      <c r="K34">
        <f t="shared" si="6"/>
        <v>448</v>
      </c>
      <c r="L34">
        <f t="shared" si="6"/>
        <v>452</v>
      </c>
      <c r="M34">
        <f t="shared" si="6"/>
        <v>421</v>
      </c>
      <c r="N34" s="32">
        <f t="shared" ref="N34:Y34" si="7">SUM(N30:N33)</f>
        <v>398</v>
      </c>
      <c r="O34" s="32">
        <f t="shared" si="7"/>
        <v>418</v>
      </c>
      <c r="P34" s="32">
        <f t="shared" si="7"/>
        <v>429</v>
      </c>
      <c r="Q34" s="32">
        <f t="shared" si="7"/>
        <v>527</v>
      </c>
      <c r="R34" s="32">
        <f t="shared" si="7"/>
        <v>406</v>
      </c>
      <c r="S34" s="32">
        <f t="shared" ref="S34" si="8">SUM(S30:S33)</f>
        <v>362</v>
      </c>
      <c r="T34" s="32">
        <f t="shared" si="7"/>
        <v>379</v>
      </c>
      <c r="U34" s="32">
        <f t="shared" ref="U34" si="9">SUM(U30:U33)</f>
        <v>381</v>
      </c>
      <c r="V34" s="32">
        <f t="shared" si="7"/>
        <v>325</v>
      </c>
      <c r="W34" s="32">
        <f t="shared" si="7"/>
        <v>316</v>
      </c>
      <c r="X34" s="32">
        <f t="shared" si="7"/>
        <v>372</v>
      </c>
      <c r="Y34" s="32">
        <f t="shared" si="7"/>
        <v>406</v>
      </c>
      <c r="Z34" s="88">
        <f>SUM(U34:Y34)/5</f>
        <v>360</v>
      </c>
      <c r="AA34" s="88">
        <f t="shared" si="5"/>
        <v>364.66666666666669</v>
      </c>
    </row>
    <row r="35" spans="1:27" x14ac:dyDescent="0.25">
      <c r="U35" s="30"/>
      <c r="V35" s="30"/>
      <c r="W35" s="30"/>
      <c r="X35" s="30"/>
      <c r="Y35" s="30"/>
      <c r="Z35" s="107"/>
      <c r="AA35" s="107"/>
    </row>
    <row r="36" spans="1:27" x14ac:dyDescent="0.25">
      <c r="A36" s="15" t="s">
        <v>58</v>
      </c>
      <c r="U36" s="30"/>
      <c r="V36" s="30"/>
      <c r="W36" s="30"/>
      <c r="X36" s="30"/>
      <c r="Y36" s="30"/>
      <c r="Z36" s="107"/>
      <c r="AA36" s="107"/>
    </row>
    <row r="37" spans="1:27" x14ac:dyDescent="0.25">
      <c r="A37" s="51" t="s">
        <v>54</v>
      </c>
      <c r="B37">
        <v>465</v>
      </c>
      <c r="C37">
        <v>505</v>
      </c>
      <c r="D37">
        <v>531</v>
      </c>
      <c r="E37">
        <v>551</v>
      </c>
      <c r="F37">
        <v>543</v>
      </c>
      <c r="G37">
        <v>492</v>
      </c>
      <c r="H37">
        <v>611</v>
      </c>
      <c r="I37">
        <v>611</v>
      </c>
      <c r="J37">
        <v>520</v>
      </c>
      <c r="K37">
        <v>509</v>
      </c>
      <c r="L37">
        <v>526</v>
      </c>
      <c r="M37" s="30">
        <v>465</v>
      </c>
      <c r="N37" s="32">
        <v>495</v>
      </c>
      <c r="O37" s="32">
        <v>452</v>
      </c>
      <c r="P37" s="32">
        <v>471</v>
      </c>
      <c r="Q37" s="32">
        <v>491</v>
      </c>
      <c r="R37" s="32">
        <v>462</v>
      </c>
      <c r="S37" s="32">
        <v>455</v>
      </c>
      <c r="T37" s="32">
        <v>408</v>
      </c>
      <c r="U37" s="32">
        <v>469</v>
      </c>
      <c r="V37" s="32">
        <v>435</v>
      </c>
      <c r="W37" s="32">
        <v>441</v>
      </c>
      <c r="X37" s="32">
        <v>513</v>
      </c>
      <c r="Y37" s="32">
        <v>556</v>
      </c>
      <c r="Z37" s="88">
        <f>SUM(U37:Y37)/5</f>
        <v>482.8</v>
      </c>
      <c r="AA37" s="88">
        <f>SUM(W37:Y37)/3</f>
        <v>503.33333333333331</v>
      </c>
    </row>
    <row r="38" spans="1:27" x14ac:dyDescent="0.25">
      <c r="A38" s="51" t="s">
        <v>55</v>
      </c>
      <c r="B38">
        <v>36</v>
      </c>
      <c r="C38">
        <v>28</v>
      </c>
      <c r="D38">
        <v>25</v>
      </c>
      <c r="E38">
        <v>15</v>
      </c>
      <c r="F38">
        <v>20</v>
      </c>
      <c r="G38">
        <v>27</v>
      </c>
      <c r="H38">
        <v>31</v>
      </c>
      <c r="I38">
        <v>22</v>
      </c>
      <c r="J38">
        <v>25</v>
      </c>
      <c r="K38">
        <v>31</v>
      </c>
      <c r="L38">
        <v>17</v>
      </c>
      <c r="M38" s="30">
        <v>31</v>
      </c>
      <c r="N38" s="32">
        <v>16</v>
      </c>
      <c r="O38" s="32">
        <v>45</v>
      </c>
      <c r="P38" s="32">
        <v>49</v>
      </c>
      <c r="Q38" s="32">
        <v>37</v>
      </c>
      <c r="R38" s="32">
        <v>51</v>
      </c>
      <c r="S38" s="32">
        <v>40</v>
      </c>
      <c r="T38" s="32">
        <v>30</v>
      </c>
      <c r="U38" s="32">
        <v>32</v>
      </c>
      <c r="V38" s="32">
        <v>31</v>
      </c>
      <c r="W38" s="32">
        <v>15</v>
      </c>
      <c r="X38" s="32">
        <v>17</v>
      </c>
      <c r="Y38" s="32">
        <v>15</v>
      </c>
      <c r="Z38" s="88">
        <f t="shared" ref="Z38:Z41" si="10">SUM(U38:Y38)/5</f>
        <v>22</v>
      </c>
      <c r="AA38" s="88">
        <f t="shared" ref="AA38:AA41" si="11">SUM(W38:Y38)/3</f>
        <v>15.666666666666666</v>
      </c>
    </row>
    <row r="39" spans="1:27" x14ac:dyDescent="0.25">
      <c r="A39" s="51" t="s">
        <v>56</v>
      </c>
      <c r="B39">
        <v>16</v>
      </c>
      <c r="C39">
        <v>17</v>
      </c>
      <c r="D39">
        <v>7</v>
      </c>
      <c r="E39">
        <v>7</v>
      </c>
      <c r="F39">
        <v>9</v>
      </c>
      <c r="G39">
        <v>9</v>
      </c>
      <c r="H39">
        <v>15</v>
      </c>
      <c r="I39">
        <v>5</v>
      </c>
      <c r="J39">
        <v>9</v>
      </c>
      <c r="K39">
        <v>14</v>
      </c>
      <c r="L39">
        <v>6</v>
      </c>
      <c r="M39" s="30">
        <v>7</v>
      </c>
      <c r="N39" s="32">
        <v>11</v>
      </c>
      <c r="O39" s="32">
        <v>16</v>
      </c>
      <c r="P39" s="32">
        <v>22</v>
      </c>
      <c r="Q39" s="32">
        <v>13</v>
      </c>
      <c r="R39" s="32">
        <v>23</v>
      </c>
      <c r="S39" s="32">
        <v>14</v>
      </c>
      <c r="T39" s="32">
        <v>12</v>
      </c>
      <c r="U39" s="32">
        <v>10</v>
      </c>
      <c r="V39" s="32">
        <v>4</v>
      </c>
      <c r="W39" s="32">
        <v>7</v>
      </c>
      <c r="X39" s="32">
        <v>3</v>
      </c>
      <c r="Y39" s="32">
        <v>6</v>
      </c>
      <c r="Z39" s="88">
        <f t="shared" si="10"/>
        <v>6</v>
      </c>
      <c r="AA39" s="88">
        <f t="shared" si="11"/>
        <v>5.333333333333333</v>
      </c>
    </row>
    <row r="40" spans="1:27" x14ac:dyDescent="0.25">
      <c r="A40" s="51" t="s">
        <v>63</v>
      </c>
      <c r="B40">
        <v>16</v>
      </c>
      <c r="C40">
        <v>15</v>
      </c>
      <c r="D40">
        <v>18</v>
      </c>
      <c r="E40">
        <v>13</v>
      </c>
      <c r="F40">
        <v>12</v>
      </c>
      <c r="G40">
        <v>9</v>
      </c>
      <c r="H40">
        <v>13</v>
      </c>
      <c r="I40">
        <v>16</v>
      </c>
      <c r="J40">
        <v>19</v>
      </c>
      <c r="K40">
        <v>19</v>
      </c>
      <c r="L40">
        <v>7</v>
      </c>
      <c r="M40" s="30">
        <v>14</v>
      </c>
      <c r="N40" s="32">
        <v>16</v>
      </c>
      <c r="O40" s="32">
        <v>16</v>
      </c>
      <c r="P40" s="32">
        <v>24</v>
      </c>
      <c r="Q40" s="32">
        <v>20</v>
      </c>
      <c r="R40" s="32">
        <v>20</v>
      </c>
      <c r="S40" s="32">
        <v>14</v>
      </c>
      <c r="T40" s="32">
        <v>16</v>
      </c>
      <c r="U40" s="32">
        <v>8</v>
      </c>
      <c r="V40" s="32">
        <v>10</v>
      </c>
      <c r="W40" s="32">
        <v>6</v>
      </c>
      <c r="X40" s="32">
        <v>5</v>
      </c>
      <c r="Y40" s="32">
        <v>3</v>
      </c>
      <c r="Z40" s="88">
        <f t="shared" si="10"/>
        <v>6.4</v>
      </c>
      <c r="AA40" s="88">
        <f t="shared" si="11"/>
        <v>4.666666666666667</v>
      </c>
    </row>
    <row r="41" spans="1:27" x14ac:dyDescent="0.25">
      <c r="A41" s="51" t="s">
        <v>65</v>
      </c>
      <c r="B41">
        <f>SUM(B37:B40)</f>
        <v>533</v>
      </c>
      <c r="C41">
        <f t="shared" ref="C41:M41" si="12">SUM(C37:C40)</f>
        <v>565</v>
      </c>
      <c r="D41">
        <f t="shared" si="12"/>
        <v>581</v>
      </c>
      <c r="E41">
        <f t="shared" si="12"/>
        <v>586</v>
      </c>
      <c r="F41">
        <f t="shared" si="12"/>
        <v>584</v>
      </c>
      <c r="G41">
        <f t="shared" si="12"/>
        <v>537</v>
      </c>
      <c r="H41">
        <f t="shared" si="12"/>
        <v>670</v>
      </c>
      <c r="I41">
        <f t="shared" si="12"/>
        <v>654</v>
      </c>
      <c r="J41">
        <f t="shared" si="12"/>
        <v>573</v>
      </c>
      <c r="K41">
        <f t="shared" si="12"/>
        <v>573</v>
      </c>
      <c r="L41">
        <f t="shared" si="12"/>
        <v>556</v>
      </c>
      <c r="M41">
        <f t="shared" si="12"/>
        <v>517</v>
      </c>
      <c r="N41" s="32">
        <v>538</v>
      </c>
      <c r="O41" s="32">
        <f t="shared" ref="O41:Y41" si="13">SUM(O37:O40)</f>
        <v>529</v>
      </c>
      <c r="P41" s="32">
        <f t="shared" si="13"/>
        <v>566</v>
      </c>
      <c r="Q41" s="32">
        <f t="shared" si="13"/>
        <v>561</v>
      </c>
      <c r="R41" s="32">
        <f t="shared" si="13"/>
        <v>556</v>
      </c>
      <c r="S41" s="32">
        <f t="shared" si="13"/>
        <v>523</v>
      </c>
      <c r="T41" s="32">
        <f t="shared" si="13"/>
        <v>466</v>
      </c>
      <c r="U41" s="32">
        <f t="shared" ref="U41" si="14">SUM(U37:U40)</f>
        <v>519</v>
      </c>
      <c r="V41" s="32">
        <f t="shared" si="13"/>
        <v>480</v>
      </c>
      <c r="W41" s="32">
        <f t="shared" si="13"/>
        <v>469</v>
      </c>
      <c r="X41" s="32">
        <f t="shared" si="13"/>
        <v>538</v>
      </c>
      <c r="Y41" s="32">
        <f t="shared" si="13"/>
        <v>580</v>
      </c>
      <c r="Z41" s="88">
        <f t="shared" si="10"/>
        <v>517.20000000000005</v>
      </c>
      <c r="AA41" s="88">
        <f t="shared" si="11"/>
        <v>529</v>
      </c>
    </row>
    <row r="42" spans="1:27" x14ac:dyDescent="0.25">
      <c r="A42" s="51" t="s">
        <v>66</v>
      </c>
      <c r="U42" s="30"/>
      <c r="V42" s="30"/>
      <c r="W42" s="30"/>
      <c r="X42" s="30"/>
      <c r="Y42" s="30"/>
    </row>
    <row r="43" spans="1:27" x14ac:dyDescent="0.25">
      <c r="A43" s="51" t="s">
        <v>67</v>
      </c>
      <c r="B43" s="2">
        <f>B41/B7</f>
        <v>0.5712754555198285</v>
      </c>
      <c r="C43" s="2">
        <f t="shared" ref="C43:AA43" si="15">C41/C7</f>
        <v>0.58609958506224069</v>
      </c>
      <c r="D43" s="2">
        <f t="shared" si="15"/>
        <v>0.58391959798994975</v>
      </c>
      <c r="E43" s="2">
        <f t="shared" si="15"/>
        <v>0.58835341365461846</v>
      </c>
      <c r="F43" s="2">
        <f t="shared" si="15"/>
        <v>0.58634538152610438</v>
      </c>
      <c r="G43" s="2">
        <f t="shared" si="15"/>
        <v>0.58624454148471616</v>
      </c>
      <c r="H43" s="2">
        <f t="shared" si="15"/>
        <v>0.60909090909090913</v>
      </c>
      <c r="I43" s="2">
        <f t="shared" si="15"/>
        <v>0.57621145374449334</v>
      </c>
      <c r="J43" s="2">
        <f t="shared" si="15"/>
        <v>0.57587939698492463</v>
      </c>
      <c r="K43" s="2">
        <f t="shared" si="15"/>
        <v>0.56176470588235294</v>
      </c>
      <c r="L43" s="2">
        <f t="shared" si="15"/>
        <v>0.55158730158730163</v>
      </c>
      <c r="M43" s="2">
        <f t="shared" si="15"/>
        <v>0.55117270788912576</v>
      </c>
      <c r="N43" s="2">
        <f t="shared" si="15"/>
        <v>0.57417289220917822</v>
      </c>
      <c r="O43" s="2">
        <f t="shared" si="15"/>
        <v>0.55161626694473409</v>
      </c>
      <c r="P43" s="2">
        <f t="shared" si="15"/>
        <v>0.56884422110552768</v>
      </c>
      <c r="Q43" s="2">
        <f t="shared" ref="Q43" si="16">Q41/Q7</f>
        <v>0.51609935602575896</v>
      </c>
      <c r="R43" s="2">
        <f t="shared" si="15"/>
        <v>0.57796257796257799</v>
      </c>
      <c r="S43" s="2">
        <f t="shared" ref="S43" si="17">S41/S7</f>
        <v>0.5909604519774011</v>
      </c>
      <c r="T43" s="2">
        <f t="shared" si="15"/>
        <v>0.5514792899408284</v>
      </c>
      <c r="U43" s="2">
        <f t="shared" ref="U43" si="18">U41/U7</f>
        <v>0.57666666666666666</v>
      </c>
      <c r="V43" s="2">
        <f t="shared" si="15"/>
        <v>0.59627329192546585</v>
      </c>
      <c r="W43" s="2">
        <f t="shared" si="15"/>
        <v>0.59745222929936304</v>
      </c>
      <c r="X43" s="2">
        <f t="shared" si="15"/>
        <v>0.59120879120879122</v>
      </c>
      <c r="Y43" s="2">
        <f t="shared" si="15"/>
        <v>0.58823529411764708</v>
      </c>
      <c r="Z43" s="2">
        <f>Z41/Z7</f>
        <v>0.58960328317373467</v>
      </c>
      <c r="AA43" s="2">
        <f t="shared" si="15"/>
        <v>0.59194330473703849</v>
      </c>
    </row>
    <row r="45" spans="1:27" x14ac:dyDescent="0.25">
      <c r="A45" s="87" t="s">
        <v>177</v>
      </c>
    </row>
    <row r="46" spans="1:27" x14ac:dyDescent="0.25">
      <c r="A46" s="58" t="s">
        <v>12</v>
      </c>
    </row>
    <row r="47" spans="1:27" x14ac:dyDescent="0.25">
      <c r="A47" s="58" t="s">
        <v>150</v>
      </c>
    </row>
    <row r="49" spans="2:5" x14ac:dyDescent="0.25">
      <c r="D49" s="5"/>
      <c r="E49" s="5"/>
    </row>
    <row r="50" spans="2:5" x14ac:dyDescent="0.25">
      <c r="B50" s="5"/>
      <c r="C50" s="17"/>
      <c r="D50" s="17"/>
      <c r="E50" s="17"/>
    </row>
    <row r="53" spans="2:5" ht="12" customHeight="1" x14ac:dyDescent="0.25"/>
  </sheetData>
  <phoneticPr fontId="0" type="noConversion"/>
  <hyperlinks>
    <hyperlink ref="A26" r:id="rId1" display="http://dhe.mo.gov/data/statsum/"/>
  </hyperlinks>
  <pageMargins left="0.27" right="0.17" top="0.56999999999999995" bottom="0.65" header="0.5" footer="0.5"/>
  <pageSetup scale="91" orientation="landscape" r:id="rId2"/>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6:S43"/>
  <sheetViews>
    <sheetView workbookViewId="0">
      <selection activeCell="U41" sqref="U41"/>
    </sheetView>
  </sheetViews>
  <sheetFormatPr defaultRowHeight="13.2" x14ac:dyDescent="0.25"/>
  <cols>
    <col min="1" max="1" width="18.109375" customWidth="1"/>
    <col min="13" max="13" width="9.6640625" customWidth="1"/>
  </cols>
  <sheetData>
    <row r="36" spans="1:19" ht="13.8" x14ac:dyDescent="0.25">
      <c r="A36" s="118" t="s">
        <v>0</v>
      </c>
      <c r="B36" s="118"/>
      <c r="C36" s="118"/>
      <c r="D36" s="118"/>
    </row>
    <row r="37" spans="1:19" x14ac:dyDescent="0.25">
      <c r="A37" s="78"/>
      <c r="B37" s="81" t="s">
        <v>35</v>
      </c>
      <c r="C37" s="81" t="s">
        <v>36</v>
      </c>
      <c r="D37" s="81" t="s">
        <v>37</v>
      </c>
      <c r="E37" s="81" t="s">
        <v>108</v>
      </c>
      <c r="F37" s="81" t="s">
        <v>124</v>
      </c>
      <c r="G37" s="81" t="s">
        <v>125</v>
      </c>
      <c r="H37" s="81" t="s">
        <v>128</v>
      </c>
      <c r="I37" s="81" t="s">
        <v>139</v>
      </c>
      <c r="J37" s="82" t="s">
        <v>141</v>
      </c>
      <c r="K37" s="82" t="s">
        <v>151</v>
      </c>
      <c r="L37" s="82" t="s">
        <v>156</v>
      </c>
      <c r="M37" s="82" t="s">
        <v>160</v>
      </c>
      <c r="N37" s="82" t="s">
        <v>167</v>
      </c>
      <c r="O37" s="82" t="s">
        <v>170</v>
      </c>
      <c r="P37" s="111" t="s">
        <v>174</v>
      </c>
      <c r="Q37" s="111" t="s">
        <v>175</v>
      </c>
      <c r="R37" s="111"/>
      <c r="S37" s="111"/>
    </row>
    <row r="38" spans="1:19" x14ac:dyDescent="0.25">
      <c r="A38" t="s">
        <v>6</v>
      </c>
      <c r="B38" s="23">
        <v>1941</v>
      </c>
      <c r="C38" s="23">
        <v>2134</v>
      </c>
      <c r="D38" s="23">
        <v>2406</v>
      </c>
      <c r="E38" s="23">
        <v>2414</v>
      </c>
      <c r="F38" s="23">
        <v>2398</v>
      </c>
      <c r="G38" s="23">
        <v>2494</v>
      </c>
      <c r="H38" s="23">
        <v>2576</v>
      </c>
      <c r="I38" s="83">
        <v>2653</v>
      </c>
      <c r="J38" s="84">
        <v>2579</v>
      </c>
      <c r="K38" s="84">
        <v>2419</v>
      </c>
      <c r="L38" s="84">
        <v>2366</v>
      </c>
      <c r="M38" s="97">
        <v>2561</v>
      </c>
      <c r="N38" s="97">
        <v>2308</v>
      </c>
      <c r="O38" s="97">
        <v>2204</v>
      </c>
      <c r="P38" s="97">
        <v>2455</v>
      </c>
      <c r="Q38" s="97">
        <v>2683</v>
      </c>
      <c r="R38" s="23"/>
      <c r="S38" s="23"/>
    </row>
    <row r="39" spans="1:19" x14ac:dyDescent="0.25">
      <c r="A39" t="s">
        <v>7</v>
      </c>
      <c r="B39" s="23">
        <v>957</v>
      </c>
      <c r="C39" s="23">
        <v>886</v>
      </c>
      <c r="D39" s="23">
        <v>803</v>
      </c>
      <c r="E39" s="23">
        <v>867</v>
      </c>
      <c r="F39" s="23">
        <v>898</v>
      </c>
      <c r="G39" s="23">
        <v>947</v>
      </c>
      <c r="H39" s="23">
        <v>1010</v>
      </c>
      <c r="I39" s="83">
        <v>1087</v>
      </c>
      <c r="J39" s="84">
        <v>1155</v>
      </c>
      <c r="K39" s="84">
        <v>1027</v>
      </c>
      <c r="L39" s="84">
        <v>885</v>
      </c>
      <c r="M39" s="97">
        <v>921</v>
      </c>
      <c r="N39" s="97">
        <v>876</v>
      </c>
      <c r="O39" s="97">
        <v>827</v>
      </c>
      <c r="P39" s="97">
        <v>788</v>
      </c>
      <c r="Q39" s="97">
        <v>788</v>
      </c>
      <c r="R39" s="23"/>
      <c r="S39" s="23"/>
    </row>
    <row r="40" spans="1:19" x14ac:dyDescent="0.25">
      <c r="A40" t="s">
        <v>8</v>
      </c>
      <c r="B40" s="23">
        <v>816</v>
      </c>
      <c r="C40" s="23">
        <v>863</v>
      </c>
      <c r="D40" s="23">
        <v>817</v>
      </c>
      <c r="E40" s="23">
        <v>758</v>
      </c>
      <c r="F40" s="23">
        <v>807</v>
      </c>
      <c r="G40" s="23">
        <v>779</v>
      </c>
      <c r="H40" s="23">
        <v>878</v>
      </c>
      <c r="I40" s="83">
        <v>953</v>
      </c>
      <c r="J40" s="84">
        <v>993</v>
      </c>
      <c r="K40" s="84">
        <v>1039</v>
      </c>
      <c r="L40" s="84">
        <v>929</v>
      </c>
      <c r="M40" s="97">
        <v>854</v>
      </c>
      <c r="N40" s="97">
        <v>828</v>
      </c>
      <c r="O40" s="97">
        <v>880</v>
      </c>
      <c r="P40" s="97">
        <v>847</v>
      </c>
      <c r="Q40" s="97">
        <v>815</v>
      </c>
      <c r="R40" s="23"/>
      <c r="S40" s="23"/>
    </row>
    <row r="41" spans="1:19" x14ac:dyDescent="0.25">
      <c r="A41" t="s">
        <v>9</v>
      </c>
      <c r="B41" s="23">
        <v>1248</v>
      </c>
      <c r="C41" s="23">
        <v>1222</v>
      </c>
      <c r="D41" s="23">
        <v>1245</v>
      </c>
      <c r="E41" s="23">
        <v>1256</v>
      </c>
      <c r="F41" s="23">
        <v>1216</v>
      </c>
      <c r="G41" s="23">
        <v>1250</v>
      </c>
      <c r="H41" s="23">
        <v>1201</v>
      </c>
      <c r="I41" s="83">
        <v>1317</v>
      </c>
      <c r="J41" s="84">
        <v>1408</v>
      </c>
      <c r="K41" s="84">
        <v>1418</v>
      </c>
      <c r="L41" s="84">
        <v>1464</v>
      </c>
      <c r="M41" s="97">
        <v>1406</v>
      </c>
      <c r="N41" s="97">
        <v>1340</v>
      </c>
      <c r="O41" s="97">
        <v>1234</v>
      </c>
      <c r="P41" s="97">
        <v>1231</v>
      </c>
      <c r="Q41" s="97">
        <v>1179</v>
      </c>
      <c r="R41" s="23"/>
      <c r="S41" s="23"/>
    </row>
    <row r="42" spans="1:19" x14ac:dyDescent="0.25">
      <c r="A42" t="s">
        <v>137</v>
      </c>
      <c r="B42" s="23"/>
      <c r="C42" s="23"/>
      <c r="D42" s="23"/>
      <c r="E42" s="23"/>
      <c r="F42" s="23">
        <v>41</v>
      </c>
      <c r="G42" s="23">
        <v>65</v>
      </c>
      <c r="H42" s="23">
        <v>70</v>
      </c>
      <c r="I42" s="83">
        <v>124</v>
      </c>
      <c r="J42" s="84">
        <v>161</v>
      </c>
      <c r="K42" s="84">
        <v>171</v>
      </c>
      <c r="L42" s="84">
        <v>179</v>
      </c>
      <c r="M42" s="97">
        <v>184</v>
      </c>
      <c r="N42" s="97">
        <v>219</v>
      </c>
      <c r="O42" s="97">
        <v>243</v>
      </c>
      <c r="P42" s="97">
        <v>241</v>
      </c>
      <c r="Q42" s="97">
        <v>235</v>
      </c>
      <c r="R42" s="23"/>
      <c r="S42" s="23"/>
    </row>
    <row r="43" spans="1:19" x14ac:dyDescent="0.25">
      <c r="A43" t="s">
        <v>10</v>
      </c>
      <c r="B43" s="23">
        <v>4962</v>
      </c>
      <c r="C43" s="23">
        <v>5105</v>
      </c>
      <c r="D43" s="23">
        <v>5271</v>
      </c>
      <c r="E43" s="23">
        <v>5295</v>
      </c>
      <c r="F43" s="23">
        <v>5360</v>
      </c>
      <c r="G43" s="23">
        <v>5535</v>
      </c>
      <c r="H43" s="23">
        <v>5735</v>
      </c>
      <c r="I43" s="83">
        <f t="shared" ref="I43:Q43" si="0">SUM(I38:I42)</f>
        <v>6134</v>
      </c>
      <c r="J43" s="84">
        <f t="shared" si="0"/>
        <v>6296</v>
      </c>
      <c r="K43" s="84">
        <f t="shared" si="0"/>
        <v>6074</v>
      </c>
      <c r="L43" s="84">
        <f t="shared" si="0"/>
        <v>5823</v>
      </c>
      <c r="M43" s="84">
        <f t="shared" si="0"/>
        <v>5926</v>
      </c>
      <c r="N43" s="84">
        <f t="shared" ref="N43:O43" si="1">SUM(N38:N42)</f>
        <v>5571</v>
      </c>
      <c r="O43" s="84">
        <f t="shared" si="1"/>
        <v>5388</v>
      </c>
      <c r="P43" s="84">
        <f t="shared" si="0"/>
        <v>5562</v>
      </c>
      <c r="Q43" s="84">
        <f t="shared" si="0"/>
        <v>5700</v>
      </c>
      <c r="R43" s="23"/>
      <c r="S43" s="23"/>
    </row>
  </sheetData>
  <mergeCells count="1">
    <mergeCell ref="A36:D36"/>
  </mergeCells>
  <pageMargins left="0.53" right="0.28000000000000003" top="0.41" bottom="0.38"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ENROLL TRENDS</vt:lpstr>
      <vt:lpstr>GRAD RATES</vt:lpstr>
      <vt:lpstr>FTIC TRENDS</vt:lpstr>
      <vt:lpstr>HDCT by class graph</vt:lpstr>
    </vt:vector>
  </TitlesOfParts>
  <Company>MWSC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Fields</dc:creator>
  <cp:lastModifiedBy>mwuser</cp:lastModifiedBy>
  <cp:lastPrinted>2011-12-01T18:15:32Z</cp:lastPrinted>
  <dcterms:created xsi:type="dcterms:W3CDTF">2002-04-01T15:44:00Z</dcterms:created>
  <dcterms:modified xsi:type="dcterms:W3CDTF">2019-04-24T21:24:55Z</dcterms:modified>
</cp:coreProperties>
</file>